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kclt-my.sharepoint.com/personal/a_jucyte_lkc_lt/Documents/Dokumentai/Austės/STATISTIKA/Ataskaitos/Savaitgalio TOP/2023/Rugsėjis/Rugsėjo 29- Spalio 1/"/>
    </mc:Choice>
  </mc:AlternateContent>
  <xr:revisionPtr revIDLastSave="3002" documentId="6_{E91C86AF-1927-4C35-982E-315218D2213A}" xr6:coauthVersionLast="47" xr6:coauthVersionMax="47" xr10:uidLastSave="{B2201759-4871-4578-8409-BD8F3236C5B5}"/>
  <bookViews>
    <workbookView xWindow="-120" yWindow="-120" windowWidth="29040" windowHeight="15840" xr2:uid="{00000000-000D-0000-FFFF-FFFF00000000}"/>
  </bookViews>
  <sheets>
    <sheet name="09.29-10.01" sheetId="26" r:id="rId1"/>
    <sheet name="09.22-09.24" sheetId="24" r:id="rId2"/>
    <sheet name="09.15-09.17" sheetId="23" r:id="rId3"/>
    <sheet name="09.08-09.10" sheetId="22" r:id="rId4"/>
    <sheet name="09.01-09.03" sheetId="21" r:id="rId5"/>
    <sheet name="08.25-08.27" sheetId="20" r:id="rId6"/>
    <sheet name="08.18-08.20" sheetId="19" r:id="rId7"/>
    <sheet name="08.11-08.13" sheetId="18" r:id="rId8"/>
    <sheet name="08.04-08.06" sheetId="17" r:id="rId9"/>
    <sheet name="07.28-07.30" sheetId="16" r:id="rId10"/>
    <sheet name="07.21-07.23" sheetId="15" r:id="rId11"/>
    <sheet name="07.14-07.16" sheetId="14" r:id="rId12"/>
    <sheet name="07.07-07.09" sheetId="13" r:id="rId13"/>
    <sheet name="06.30-07.02" sheetId="12" r:id="rId14"/>
    <sheet name="06.23-06.25" sheetId="11" r:id="rId15"/>
    <sheet name="06.16-06.18" sheetId="10" r:id="rId16"/>
    <sheet name="06.09-06.11" sheetId="9" r:id="rId17"/>
    <sheet name="06.02-06.04" sheetId="8" r:id="rId18"/>
    <sheet name="05.26-05.28" sheetId="7" r:id="rId19"/>
    <sheet name="05.19-05.21" sheetId="6" r:id="rId20"/>
    <sheet name="05.12-05.14" sheetId="5" r:id="rId21"/>
    <sheet name="05.05-05.07" sheetId="4" r:id="rId22"/>
    <sheet name="04.28-04.30" sheetId="3" r:id="rId23"/>
    <sheet name="04.21-04.23" sheetId="2" r:id="rId2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4" i="26" l="1"/>
  <c r="D34" i="26"/>
  <c r="I9" i="26"/>
  <c r="F12" i="26"/>
  <c r="F23" i="26"/>
  <c r="I32" i="26" l="1"/>
  <c r="I7" i="26"/>
  <c r="I4" i="26"/>
  <c r="I10" i="26"/>
  <c r="I33" i="26" l="1"/>
  <c r="F13" i="26" l="1"/>
  <c r="F22" i="26"/>
  <c r="F6" i="26" l="1"/>
  <c r="I30" i="26" l="1"/>
  <c r="I17" i="26"/>
  <c r="F34" i="26"/>
  <c r="F29" i="26"/>
  <c r="I31" i="26"/>
  <c r="F31" i="26"/>
  <c r="I25" i="26"/>
  <c r="F25" i="26"/>
  <c r="F27" i="26"/>
  <c r="F28" i="26"/>
  <c r="I21" i="26"/>
  <c r="F21" i="26"/>
  <c r="F26" i="26"/>
  <c r="I22" i="26"/>
  <c r="F24" i="26"/>
  <c r="I20" i="26"/>
  <c r="F20" i="26"/>
  <c r="I18" i="26"/>
  <c r="F18" i="26"/>
  <c r="I19" i="26"/>
  <c r="F19" i="26"/>
  <c r="I23" i="26"/>
  <c r="I15" i="26"/>
  <c r="F15" i="26"/>
  <c r="I14" i="26"/>
  <c r="F14" i="26"/>
  <c r="I11" i="26"/>
  <c r="F11" i="26"/>
  <c r="F9" i="26"/>
  <c r="F16" i="26"/>
  <c r="I12" i="26"/>
  <c r="I5" i="26"/>
  <c r="F5" i="26"/>
  <c r="I8" i="26"/>
  <c r="F8" i="26"/>
  <c r="I6" i="26"/>
  <c r="G32" i="24" l="1"/>
  <c r="D32" i="24"/>
  <c r="I3" i="24"/>
  <c r="I18" i="24"/>
  <c r="F27" i="24" l="1"/>
  <c r="I29" i="24"/>
  <c r="I6" i="24"/>
  <c r="I13" i="24"/>
  <c r="F9" i="24" l="1"/>
  <c r="F5" i="24"/>
  <c r="F7" i="24"/>
  <c r="F23" i="24" l="1"/>
  <c r="F32" i="24" l="1"/>
  <c r="I30" i="24"/>
  <c r="F30" i="24"/>
  <c r="I26" i="24"/>
  <c r="F26" i="24"/>
  <c r="I31" i="24"/>
  <c r="F31" i="24"/>
  <c r="I25" i="24"/>
  <c r="F25" i="24"/>
  <c r="F21" i="24"/>
  <c r="F19" i="24"/>
  <c r="I20" i="24"/>
  <c r="F20" i="24"/>
  <c r="F22" i="24"/>
  <c r="F17" i="24"/>
  <c r="I15" i="24"/>
  <c r="F15" i="24"/>
  <c r="I16" i="24"/>
  <c r="F16" i="24"/>
  <c r="I14" i="24"/>
  <c r="F14" i="24"/>
  <c r="I12" i="24"/>
  <c r="F12" i="24"/>
  <c r="I11" i="24"/>
  <c r="F11" i="24"/>
  <c r="I10" i="24"/>
  <c r="F10" i="24"/>
  <c r="I5" i="24"/>
  <c r="I4" i="24"/>
  <c r="F4" i="24"/>
  <c r="G34" i="23"/>
  <c r="D34" i="23"/>
  <c r="F24" i="23" l="1"/>
  <c r="F15" i="23" l="1"/>
  <c r="F3" i="23" l="1"/>
  <c r="F34" i="23" l="1"/>
  <c r="I29" i="23"/>
  <c r="F29" i="23"/>
  <c r="I32" i="23"/>
  <c r="F32" i="23"/>
  <c r="I30" i="23"/>
  <c r="F30" i="23"/>
  <c r="I24" i="23"/>
  <c r="I25" i="23"/>
  <c r="F25" i="23"/>
  <c r="I27" i="23"/>
  <c r="F27" i="23"/>
  <c r="I23" i="23"/>
  <c r="F23" i="23"/>
  <c r="I26" i="23"/>
  <c r="F26" i="23"/>
  <c r="I22" i="23"/>
  <c r="F22" i="23"/>
  <c r="I21" i="23"/>
  <c r="F21" i="23"/>
  <c r="I19" i="23"/>
  <c r="F19" i="23"/>
  <c r="I31" i="23"/>
  <c r="F31" i="23"/>
  <c r="I33" i="23"/>
  <c r="F33" i="23"/>
  <c r="I20" i="23"/>
  <c r="F20" i="23"/>
  <c r="I16" i="23"/>
  <c r="F16" i="23"/>
  <c r="F18" i="23"/>
  <c r="F17" i="23"/>
  <c r="I4" i="23"/>
  <c r="I12" i="23"/>
  <c r="F12" i="23"/>
  <c r="F14" i="23"/>
  <c r="I9" i="23"/>
  <c r="F9" i="23"/>
  <c r="I11" i="23"/>
  <c r="F11" i="23"/>
  <c r="I10" i="23"/>
  <c r="F10" i="23"/>
  <c r="I8" i="23"/>
  <c r="F8" i="23"/>
  <c r="I7" i="23"/>
  <c r="F7" i="23"/>
  <c r="I3" i="23"/>
  <c r="G37" i="22"/>
  <c r="D37" i="22"/>
  <c r="I31" i="22"/>
  <c r="F28" i="22" l="1"/>
  <c r="F27" i="22"/>
  <c r="F18" i="22"/>
  <c r="F17" i="22"/>
  <c r="F19" i="22"/>
  <c r="F36" i="22"/>
  <c r="F21" i="22"/>
  <c r="F34" i="22"/>
  <c r="F22" i="22"/>
  <c r="F20" i="22"/>
  <c r="F23" i="22"/>
  <c r="F33" i="22"/>
  <c r="F24" i="22"/>
  <c r="F35" i="22"/>
  <c r="F29" i="22"/>
  <c r="F30" i="22"/>
  <c r="F25" i="22"/>
  <c r="F32" i="22"/>
  <c r="I26" i="22" l="1"/>
  <c r="I3" i="22"/>
  <c r="I11" i="22"/>
  <c r="F13" i="22" l="1"/>
  <c r="F6" i="22"/>
  <c r="F9" i="22"/>
  <c r="F37" i="22"/>
  <c r="I32" i="22"/>
  <c r="I25" i="22"/>
  <c r="I27" i="22"/>
  <c r="I28" i="22"/>
  <c r="I30" i="22"/>
  <c r="I29" i="22"/>
  <c r="I35" i="22"/>
  <c r="I24" i="22"/>
  <c r="I33" i="22"/>
  <c r="I23" i="22"/>
  <c r="I20" i="22"/>
  <c r="I22" i="22"/>
  <c r="I34" i="22"/>
  <c r="I21" i="22"/>
  <c r="I36" i="22"/>
  <c r="I19" i="22"/>
  <c r="I17" i="22"/>
  <c r="I18" i="22"/>
  <c r="I16" i="22"/>
  <c r="F16" i="22"/>
  <c r="I15" i="22"/>
  <c r="F15" i="22"/>
  <c r="F12" i="22"/>
  <c r="I8" i="22"/>
  <c r="F8" i="22"/>
  <c r="I10" i="22"/>
  <c r="F10" i="22"/>
  <c r="I4" i="22"/>
  <c r="F4" i="22"/>
  <c r="I7" i="22"/>
  <c r="F7" i="22"/>
  <c r="I6" i="22"/>
  <c r="I5" i="22"/>
  <c r="F5" i="22"/>
  <c r="G38" i="21"/>
  <c r="D38" i="21"/>
  <c r="I27" i="21" l="1"/>
  <c r="I24" i="21" l="1"/>
  <c r="F22" i="21" l="1"/>
  <c r="F17" i="21"/>
  <c r="I20" i="21"/>
  <c r="I32" i="21"/>
  <c r="I14" i="21"/>
  <c r="F34" i="21" l="1"/>
  <c r="I4" i="21"/>
  <c r="I19" i="21"/>
  <c r="F3" i="21"/>
  <c r="F10" i="21"/>
  <c r="I29" i="21"/>
  <c r="F23" i="21"/>
  <c r="I37" i="21"/>
  <c r="I36" i="21" l="1"/>
  <c r="I33" i="21"/>
  <c r="I28" i="21"/>
  <c r="F38" i="21" l="1"/>
  <c r="I30" i="21"/>
  <c r="F30" i="21"/>
  <c r="I31" i="21"/>
  <c r="F31" i="21"/>
  <c r="I26" i="21"/>
  <c r="F26" i="21"/>
  <c r="I23" i="21"/>
  <c r="I34" i="21"/>
  <c r="I35" i="21"/>
  <c r="F35" i="21"/>
  <c r="I21" i="21"/>
  <c r="F21" i="21"/>
  <c r="I25" i="21"/>
  <c r="F25" i="21"/>
  <c r="I16" i="21"/>
  <c r="F16" i="21"/>
  <c r="I15" i="21"/>
  <c r="F15" i="21"/>
  <c r="I22" i="21"/>
  <c r="I18" i="21"/>
  <c r="F18" i="21"/>
  <c r="I12" i="21"/>
  <c r="F12" i="21"/>
  <c r="I8" i="21"/>
  <c r="F8" i="21"/>
  <c r="I17" i="21"/>
  <c r="I13" i="21"/>
  <c r="F13" i="21"/>
  <c r="I9" i="21"/>
  <c r="F9" i="21"/>
  <c r="I3" i="21"/>
  <c r="I6" i="21"/>
  <c r="F6" i="21"/>
  <c r="I7" i="21"/>
  <c r="F7" i="21"/>
  <c r="G37" i="20"/>
  <c r="D37" i="20"/>
  <c r="I19" i="20" l="1"/>
  <c r="F29" i="20" l="1"/>
  <c r="F27" i="20"/>
  <c r="F32" i="20"/>
  <c r="I34" i="20" l="1"/>
  <c r="F11" i="20"/>
  <c r="F18" i="20"/>
  <c r="F15" i="20"/>
  <c r="I30" i="20"/>
  <c r="I33" i="20"/>
  <c r="F12" i="20"/>
  <c r="F14" i="20"/>
  <c r="I9" i="20"/>
  <c r="I13" i="20"/>
  <c r="I25" i="20" l="1"/>
  <c r="I5" i="20"/>
  <c r="I24" i="20" l="1"/>
  <c r="I21" i="20" l="1"/>
  <c r="I36" i="20"/>
  <c r="I20" i="20"/>
  <c r="F20" i="20"/>
  <c r="I22" i="20"/>
  <c r="F22" i="20"/>
  <c r="F31" i="20"/>
  <c r="I27" i="20"/>
  <c r="I35" i="20"/>
  <c r="F35" i="20"/>
  <c r="I32" i="20"/>
  <c r="I26" i="20"/>
  <c r="F26" i="20"/>
  <c r="I29" i="20"/>
  <c r="I28" i="20"/>
  <c r="F28" i="20"/>
  <c r="F23" i="20"/>
  <c r="I17" i="20"/>
  <c r="F17" i="20"/>
  <c r="I16" i="20"/>
  <c r="F16" i="20"/>
  <c r="I15" i="20"/>
  <c r="I18" i="20"/>
  <c r="I11" i="20"/>
  <c r="I10" i="20"/>
  <c r="F10" i="20"/>
  <c r="I14" i="20"/>
  <c r="I12" i="20"/>
  <c r="I8" i="20"/>
  <c r="F8" i="20"/>
  <c r="I7" i="20"/>
  <c r="F7" i="20"/>
  <c r="I4" i="20"/>
  <c r="F4" i="20"/>
  <c r="I3" i="20"/>
  <c r="F3" i="20"/>
  <c r="G30" i="19"/>
  <c r="D30" i="19"/>
  <c r="F29" i="19"/>
  <c r="F37" i="20" l="1"/>
  <c r="I23" i="19"/>
  <c r="I21" i="19"/>
  <c r="I10" i="19"/>
  <c r="F16" i="19" l="1"/>
  <c r="F15" i="19"/>
  <c r="I11" i="19"/>
  <c r="I8" i="19"/>
  <c r="I7" i="19"/>
  <c r="F5" i="19" l="1"/>
  <c r="F19" i="19" l="1"/>
  <c r="I18" i="19" l="1"/>
  <c r="F25" i="19" l="1"/>
  <c r="F28" i="19"/>
  <c r="F27" i="19"/>
  <c r="I29" i="19"/>
  <c r="F24" i="19"/>
  <c r="I27" i="19"/>
  <c r="I28" i="19"/>
  <c r="I25" i="19"/>
  <c r="I22" i="19"/>
  <c r="F22" i="19"/>
  <c r="I26" i="19"/>
  <c r="F26" i="19"/>
  <c r="I19" i="19"/>
  <c r="I20" i="19"/>
  <c r="F20" i="19"/>
  <c r="I17" i="19"/>
  <c r="F17" i="19"/>
  <c r="I16" i="19"/>
  <c r="I14" i="19"/>
  <c r="F14" i="19"/>
  <c r="I13" i="19"/>
  <c r="F13" i="19"/>
  <c r="I12" i="19"/>
  <c r="F12" i="19"/>
  <c r="I9" i="19"/>
  <c r="F9" i="19"/>
  <c r="I6" i="19"/>
  <c r="F6" i="19"/>
  <c r="I5" i="19"/>
  <c r="I4" i="19"/>
  <c r="F4" i="19"/>
  <c r="I3" i="19"/>
  <c r="F3" i="19"/>
  <c r="D30" i="18"/>
  <c r="I29" i="18"/>
  <c r="F21" i="18"/>
  <c r="F19" i="18"/>
  <c r="F20" i="18"/>
  <c r="I8" i="18"/>
  <c r="F8" i="18"/>
  <c r="I11" i="18"/>
  <c r="I12" i="18"/>
  <c r="F30" i="19" l="1"/>
  <c r="F6" i="18"/>
  <c r="I27" i="18"/>
  <c r="I5" i="18"/>
  <c r="I23" i="18" l="1"/>
  <c r="I17" i="18"/>
  <c r="F18" i="18"/>
  <c r="I25" i="18"/>
  <c r="I28" i="18" l="1"/>
  <c r="I24" i="18"/>
  <c r="G30" i="18" l="1"/>
  <c r="I18" i="18"/>
  <c r="I21" i="18"/>
  <c r="I20" i="18"/>
  <c r="I19" i="18"/>
  <c r="I22" i="18"/>
  <c r="F22" i="18"/>
  <c r="I16" i="18"/>
  <c r="F16" i="18"/>
  <c r="F26" i="18"/>
  <c r="I15" i="18"/>
  <c r="F15" i="18"/>
  <c r="I14" i="18"/>
  <c r="F14" i="18"/>
  <c r="I9" i="18"/>
  <c r="F9" i="18"/>
  <c r="I10" i="18"/>
  <c r="F10" i="18"/>
  <c r="I7" i="18"/>
  <c r="F7" i="18"/>
  <c r="I6" i="18"/>
  <c r="I4" i="18"/>
  <c r="F4" i="18"/>
  <c r="I3" i="18"/>
  <c r="F3" i="18"/>
  <c r="F14" i="17"/>
  <c r="I26" i="17"/>
  <c r="I21" i="17"/>
  <c r="I17" i="17"/>
  <c r="I22" i="17"/>
  <c r="I19" i="17"/>
  <c r="I14" i="17"/>
  <c r="F11" i="17"/>
  <c r="F30" i="18" l="1"/>
  <c r="F20" i="17"/>
  <c r="F12" i="17" l="1"/>
  <c r="I5" i="17" l="1"/>
  <c r="I23" i="17" l="1"/>
  <c r="I24" i="17"/>
  <c r="G28" i="17"/>
  <c r="D28" i="17"/>
  <c r="F28" i="17" s="1"/>
  <c r="I27" i="17"/>
  <c r="F27" i="17"/>
  <c r="I16" i="17"/>
  <c r="F16" i="17"/>
  <c r="I15" i="17"/>
  <c r="F15" i="17"/>
  <c r="I18" i="17"/>
  <c r="F18" i="17"/>
  <c r="I25" i="17"/>
  <c r="F25" i="17"/>
  <c r="I20" i="17"/>
  <c r="F13" i="17"/>
  <c r="I10" i="17"/>
  <c r="F10" i="17"/>
  <c r="I11" i="17"/>
  <c r="I12" i="17"/>
  <c r="I8" i="17"/>
  <c r="F8" i="17"/>
  <c r="I9" i="17"/>
  <c r="F9" i="17"/>
  <c r="I7" i="17"/>
  <c r="F7" i="17"/>
  <c r="I4" i="17"/>
  <c r="F4" i="17"/>
  <c r="I3" i="17"/>
  <c r="F3" i="17"/>
  <c r="I13" i="16"/>
  <c r="F18" i="16"/>
  <c r="F22" i="16"/>
  <c r="I9" i="16" l="1"/>
  <c r="I14" i="16" l="1"/>
  <c r="I22" i="16"/>
  <c r="I17" i="16"/>
  <c r="I8" i="16"/>
  <c r="I19" i="16"/>
  <c r="F20" i="16" l="1"/>
  <c r="F4" i="16" l="1"/>
  <c r="F3" i="16"/>
  <c r="F11" i="16"/>
  <c r="F19" i="16"/>
  <c r="G25" i="16"/>
  <c r="D25" i="16"/>
  <c r="F25" i="16" s="1"/>
  <c r="I20" i="16"/>
  <c r="I24" i="16"/>
  <c r="F24" i="16"/>
  <c r="I18" i="16"/>
  <c r="I21" i="16"/>
  <c r="F21" i="16"/>
  <c r="I16" i="16"/>
  <c r="F16" i="16"/>
  <c r="I23" i="16"/>
  <c r="F23" i="16"/>
  <c r="I15" i="16"/>
  <c r="F15" i="16"/>
  <c r="I12" i="16"/>
  <c r="F12" i="16"/>
  <c r="I5" i="16"/>
  <c r="F5" i="16"/>
  <c r="I10" i="16"/>
  <c r="F10" i="16"/>
  <c r="I7" i="16"/>
  <c r="F7" i="16"/>
  <c r="I6" i="16"/>
  <c r="F6" i="16"/>
  <c r="I3" i="16"/>
  <c r="I4" i="16"/>
  <c r="I35" i="15"/>
  <c r="I16" i="15"/>
  <c r="I22" i="15"/>
  <c r="I27" i="15"/>
  <c r="F6" i="15"/>
  <c r="F5" i="15"/>
  <c r="I4" i="15"/>
  <c r="I32" i="15"/>
  <c r="I33" i="15"/>
  <c r="I29" i="15"/>
  <c r="I21" i="15"/>
  <c r="I31" i="15" l="1"/>
  <c r="F34" i="15"/>
  <c r="F28" i="15"/>
  <c r="I26" i="15"/>
  <c r="I24" i="15"/>
  <c r="I20" i="15"/>
  <c r="F20" i="15"/>
  <c r="F7" i="15"/>
  <c r="I3" i="15"/>
  <c r="G36" i="15"/>
  <c r="D36" i="15"/>
  <c r="F36" i="15" s="1"/>
  <c r="I18" i="15"/>
  <c r="F18" i="15"/>
  <c r="I30" i="15"/>
  <c r="F30" i="15"/>
  <c r="I34" i="15"/>
  <c r="I28" i="15"/>
  <c r="I23" i="15"/>
  <c r="F23" i="15"/>
  <c r="F24" i="15"/>
  <c r="I15" i="15"/>
  <c r="F15" i="15"/>
  <c r="I17" i="15"/>
  <c r="F17" i="15"/>
  <c r="I14" i="15"/>
  <c r="F14" i="15"/>
  <c r="I25" i="15"/>
  <c r="F25" i="15"/>
  <c r="I19" i="15"/>
  <c r="F19" i="15"/>
  <c r="I10" i="15"/>
  <c r="F10" i="15"/>
  <c r="I12" i="15"/>
  <c r="F12" i="15"/>
  <c r="I13" i="15"/>
  <c r="F13" i="15"/>
  <c r="I11" i="15"/>
  <c r="F11" i="15"/>
  <c r="I8" i="15"/>
  <c r="F8" i="15"/>
  <c r="I7" i="15"/>
  <c r="I5" i="15"/>
  <c r="I6" i="15"/>
  <c r="G33" i="14"/>
  <c r="D33" i="14"/>
  <c r="I3" i="14" l="1"/>
  <c r="I20" i="14"/>
  <c r="F19" i="14" l="1"/>
  <c r="F14" i="14"/>
  <c r="F5" i="14"/>
  <c r="I31" i="14" l="1"/>
  <c r="I22" i="14"/>
  <c r="I29" i="14"/>
  <c r="I28" i="14"/>
  <c r="I4" i="14" l="1"/>
  <c r="I25" i="14"/>
  <c r="I12" i="14"/>
  <c r="I5" i="14"/>
  <c r="F33" i="14"/>
  <c r="I27" i="14"/>
  <c r="F27" i="14"/>
  <c r="I30" i="14"/>
  <c r="F30" i="14"/>
  <c r="I19" i="14"/>
  <c r="I32" i="14"/>
  <c r="F32" i="14"/>
  <c r="I24" i="14"/>
  <c r="F24" i="14"/>
  <c r="I23" i="14"/>
  <c r="F23" i="14"/>
  <c r="I21" i="14"/>
  <c r="F21" i="14"/>
  <c r="I18" i="14"/>
  <c r="F18" i="14"/>
  <c r="I26" i="14"/>
  <c r="F26" i="14"/>
  <c r="I17" i="14"/>
  <c r="F17" i="14"/>
  <c r="I13" i="14"/>
  <c r="F13" i="14"/>
  <c r="I16" i="14"/>
  <c r="F16" i="14"/>
  <c r="I15" i="14"/>
  <c r="F15" i="14"/>
  <c r="I14" i="14"/>
  <c r="I11" i="14"/>
  <c r="F11" i="14"/>
  <c r="I8" i="14"/>
  <c r="F8" i="14"/>
  <c r="I9" i="14"/>
  <c r="F9" i="14"/>
  <c r="I10" i="14"/>
  <c r="F10" i="14"/>
  <c r="I7" i="14"/>
  <c r="F7" i="14"/>
  <c r="I6" i="14"/>
  <c r="F6" i="14"/>
  <c r="G33" i="13"/>
  <c r="D33" i="13"/>
  <c r="F6" i="13"/>
  <c r="F5" i="13"/>
  <c r="I23" i="13" l="1"/>
  <c r="I10" i="13"/>
  <c r="I3" i="13" l="1"/>
  <c r="I25" i="13"/>
  <c r="F29" i="13" l="1"/>
  <c r="F21" i="13"/>
  <c r="F33" i="13"/>
  <c r="I28" i="13"/>
  <c r="F28" i="13"/>
  <c r="I32" i="13"/>
  <c r="F32" i="13"/>
  <c r="I29" i="13"/>
  <c r="I31" i="13"/>
  <c r="F31" i="13"/>
  <c r="I26" i="13"/>
  <c r="F26" i="13"/>
  <c r="I21" i="13"/>
  <c r="I24" i="13"/>
  <c r="F24" i="13"/>
  <c r="I20" i="13"/>
  <c r="F20" i="13"/>
  <c r="I22" i="13"/>
  <c r="F22" i="13"/>
  <c r="I27" i="13"/>
  <c r="F27" i="13"/>
  <c r="I19" i="13"/>
  <c r="F19" i="13"/>
  <c r="I30" i="13"/>
  <c r="F30" i="13"/>
  <c r="I18" i="13"/>
  <c r="F18" i="13"/>
  <c r="I15" i="13"/>
  <c r="F15" i="13"/>
  <c r="I14" i="13"/>
  <c r="F14" i="13"/>
  <c r="I12" i="13"/>
  <c r="F12" i="13"/>
  <c r="I13" i="13"/>
  <c r="F13" i="13"/>
  <c r="I11" i="13"/>
  <c r="F11" i="13"/>
  <c r="I17" i="13"/>
  <c r="F17" i="13"/>
  <c r="I16" i="13"/>
  <c r="F16" i="13"/>
  <c r="I9" i="13"/>
  <c r="F9" i="13"/>
  <c r="I7" i="13"/>
  <c r="F7" i="13"/>
  <c r="I8" i="13"/>
  <c r="F8" i="13"/>
  <c r="I6" i="13"/>
  <c r="I4" i="13"/>
  <c r="F4" i="13"/>
  <c r="I5" i="13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G38" i="12"/>
  <c r="D38" i="12"/>
  <c r="F36" i="12" l="1"/>
  <c r="F23" i="12"/>
  <c r="F17" i="12"/>
  <c r="I3" i="12" l="1"/>
  <c r="F6" i="12"/>
  <c r="L16" i="12"/>
  <c r="F34" i="12" l="1"/>
  <c r="F29" i="12"/>
  <c r="F31" i="12"/>
  <c r="F18" i="12"/>
  <c r="F25" i="12"/>
  <c r="F30" i="12"/>
  <c r="F21" i="12"/>
  <c r="F33" i="12"/>
  <c r="F24" i="12"/>
  <c r="F19" i="12"/>
  <c r="F37" i="12"/>
  <c r="F16" i="12"/>
  <c r="F14" i="12"/>
  <c r="F12" i="12"/>
  <c r="F13" i="12"/>
  <c r="F11" i="12"/>
  <c r="F15" i="12"/>
  <c r="F9" i="12"/>
  <c r="F10" i="12"/>
  <c r="F8" i="12"/>
  <c r="F7" i="12"/>
  <c r="F4" i="12"/>
  <c r="G39" i="11"/>
  <c r="D39" i="11"/>
  <c r="F38" i="12" l="1"/>
  <c r="F26" i="11"/>
  <c r="I26" i="11"/>
  <c r="F36" i="11" l="1"/>
  <c r="I36" i="11"/>
  <c r="I32" i="11" l="1"/>
  <c r="I23" i="11" l="1"/>
  <c r="I18" i="11" l="1"/>
  <c r="F3" i="11"/>
  <c r="I34" i="11" l="1"/>
  <c r="F27" i="11"/>
  <c r="F28" i="11"/>
  <c r="F29" i="11"/>
  <c r="F16" i="11"/>
  <c r="F7" i="11"/>
  <c r="I4" i="11"/>
  <c r="I38" i="11" l="1"/>
  <c r="I14" i="11"/>
  <c r="I20" i="11"/>
  <c r="F39" i="11" l="1"/>
  <c r="I27" i="11"/>
  <c r="I28" i="11"/>
  <c r="I33" i="11"/>
  <c r="F33" i="11"/>
  <c r="I30" i="11"/>
  <c r="F30" i="11"/>
  <c r="I37" i="11"/>
  <c r="F37" i="11"/>
  <c r="I21" i="11"/>
  <c r="F21" i="11"/>
  <c r="I31" i="11"/>
  <c r="F31" i="11"/>
  <c r="I22" i="11"/>
  <c r="F22" i="11"/>
  <c r="I17" i="11"/>
  <c r="F17" i="11"/>
  <c r="I29" i="11"/>
  <c r="I19" i="11"/>
  <c r="F19" i="11"/>
  <c r="I24" i="11"/>
  <c r="F24" i="11"/>
  <c r="I15" i="11"/>
  <c r="F15" i="11"/>
  <c r="I16" i="11"/>
  <c r="I11" i="11"/>
  <c r="F11" i="11"/>
  <c r="I13" i="11"/>
  <c r="F13" i="11"/>
  <c r="I10" i="11"/>
  <c r="F10" i="11"/>
  <c r="I12" i="11"/>
  <c r="F12" i="11"/>
  <c r="I8" i="11"/>
  <c r="F8" i="11"/>
  <c r="I9" i="11"/>
  <c r="F9" i="11"/>
  <c r="I7" i="11"/>
  <c r="I6" i="11"/>
  <c r="F6" i="11"/>
  <c r="I5" i="11"/>
  <c r="F5" i="11"/>
  <c r="I3" i="11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F30" i="10" l="1"/>
  <c r="F10" i="10"/>
  <c r="F5" i="10"/>
  <c r="I3" i="10"/>
  <c r="D42" i="10" l="1"/>
  <c r="F31" i="10"/>
  <c r="G42" i="10" l="1"/>
  <c r="F42" i="10"/>
  <c r="F23" i="10"/>
  <c r="F29" i="10"/>
  <c r="F25" i="10"/>
  <c r="F34" i="10"/>
  <c r="F19" i="10"/>
  <c r="F36" i="10"/>
  <c r="F20" i="10"/>
  <c r="F22" i="10"/>
  <c r="F32" i="10"/>
  <c r="F15" i="10"/>
  <c r="F26" i="10"/>
  <c r="F16" i="10"/>
  <c r="F14" i="10"/>
  <c r="F12" i="10"/>
  <c r="F8" i="10"/>
  <c r="F11" i="10"/>
  <c r="F9" i="10"/>
  <c r="F7" i="10"/>
  <c r="F4" i="10"/>
  <c r="G34" i="9"/>
  <c r="D34" i="9"/>
  <c r="I17" i="9" l="1"/>
  <c r="F28" i="9"/>
  <c r="F30" i="9"/>
  <c r="F9" i="9"/>
  <c r="I6" i="9"/>
  <c r="I3" i="9"/>
  <c r="I23" i="9" l="1"/>
  <c r="F22" i="9"/>
  <c r="I12" i="9"/>
  <c r="F4" i="9" l="1"/>
  <c r="F18" i="9"/>
  <c r="F32" i="9" l="1"/>
  <c r="I19" i="9"/>
  <c r="F34" i="9"/>
  <c r="I31" i="9"/>
  <c r="F31" i="9"/>
  <c r="I33" i="9"/>
  <c r="F33" i="9"/>
  <c r="I26" i="9"/>
  <c r="F26" i="9"/>
  <c r="I28" i="9"/>
  <c r="I25" i="9"/>
  <c r="F25" i="9"/>
  <c r="F27" i="9"/>
  <c r="I29" i="9"/>
  <c r="F29" i="9"/>
  <c r="I22" i="9"/>
  <c r="I24" i="9"/>
  <c r="F24" i="9"/>
  <c r="I20" i="9"/>
  <c r="F20" i="9"/>
  <c r="I15" i="9"/>
  <c r="F15" i="9"/>
  <c r="F21" i="9"/>
  <c r="I13" i="9"/>
  <c r="F13" i="9"/>
  <c r="I14" i="9"/>
  <c r="F14" i="9"/>
  <c r="I18" i="9"/>
  <c r="I30" i="9"/>
  <c r="I16" i="9"/>
  <c r="F16" i="9"/>
  <c r="I11" i="9"/>
  <c r="F11" i="9"/>
  <c r="I10" i="9"/>
  <c r="F10" i="9"/>
  <c r="I7" i="9"/>
  <c r="F7" i="9"/>
  <c r="I9" i="9"/>
  <c r="I8" i="9"/>
  <c r="F8" i="9"/>
  <c r="I5" i="9"/>
  <c r="F5" i="9"/>
  <c r="I4" i="9"/>
  <c r="I38" i="8"/>
  <c r="I39" i="8"/>
  <c r="I40" i="8"/>
  <c r="I17" i="8"/>
  <c r="I18" i="8"/>
  <c r="I19" i="8"/>
  <c r="I20" i="8"/>
  <c r="I21" i="8"/>
  <c r="I22" i="8"/>
  <c r="I23" i="8"/>
  <c r="I25" i="8"/>
  <c r="I26" i="8"/>
  <c r="I27" i="8"/>
  <c r="I28" i="8"/>
  <c r="I29" i="8"/>
  <c r="I30" i="8"/>
  <c r="I16" i="8"/>
  <c r="I4" i="8"/>
  <c r="I5" i="8"/>
  <c r="I6" i="8"/>
  <c r="I7" i="8"/>
  <c r="I8" i="8"/>
  <c r="I9" i="8"/>
  <c r="I10" i="8"/>
  <c r="I11" i="8"/>
  <c r="I12" i="8"/>
  <c r="I13" i="8"/>
  <c r="I14" i="8"/>
  <c r="I3" i="8"/>
  <c r="G41" i="8"/>
  <c r="F26" i="8" l="1"/>
  <c r="F5" i="8"/>
  <c r="F15" i="8" l="1"/>
  <c r="F10" i="8" l="1"/>
  <c r="D41" i="8"/>
  <c r="F41" i="8" s="1"/>
  <c r="F22" i="8" l="1"/>
  <c r="F16" i="8" l="1"/>
  <c r="I35" i="8"/>
  <c r="F35" i="8"/>
  <c r="I37" i="8"/>
  <c r="F37" i="8"/>
  <c r="I34" i="8"/>
  <c r="F34" i="8"/>
  <c r="F40" i="8"/>
  <c r="F38" i="8"/>
  <c r="I33" i="8"/>
  <c r="F33" i="8"/>
  <c r="I32" i="8"/>
  <c r="F32" i="8"/>
  <c r="F25" i="8"/>
  <c r="F24" i="8"/>
  <c r="F30" i="8"/>
  <c r="F23" i="8"/>
  <c r="F31" i="8"/>
  <c r="F19" i="8"/>
  <c r="F18" i="8"/>
  <c r="F14" i="8"/>
  <c r="F13" i="8"/>
  <c r="F9" i="8"/>
  <c r="F7" i="8"/>
  <c r="F8" i="8"/>
  <c r="F4" i="8"/>
  <c r="F36" i="7"/>
  <c r="I36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7" i="7"/>
  <c r="I38" i="7"/>
  <c r="I18" i="7"/>
  <c r="I19" i="7"/>
  <c r="I12" i="7"/>
  <c r="I13" i="7"/>
  <c r="I14" i="7"/>
  <c r="I15" i="7"/>
  <c r="I4" i="7"/>
  <c r="I5" i="7"/>
  <c r="I6" i="7"/>
  <c r="I7" i="7"/>
  <c r="I8" i="7"/>
  <c r="I9" i="7"/>
  <c r="I17" i="7"/>
  <c r="F14" i="7"/>
  <c r="F3" i="7"/>
  <c r="F16" i="7" l="1"/>
  <c r="F29" i="7" l="1"/>
  <c r="D39" i="7"/>
  <c r="I11" i="7" l="1"/>
  <c r="F39" i="7"/>
  <c r="G39" i="7"/>
  <c r="F38" i="7"/>
  <c r="F27" i="7"/>
  <c r="F28" i="7"/>
  <c r="F19" i="7"/>
  <c r="F31" i="7"/>
  <c r="F25" i="7"/>
  <c r="F35" i="7"/>
  <c r="F26" i="7"/>
  <c r="F15" i="7"/>
  <c r="F18" i="7"/>
  <c r="I21" i="7"/>
  <c r="F21" i="7"/>
  <c r="F20" i="7"/>
  <c r="F12" i="7"/>
  <c r="F24" i="7"/>
  <c r="F13" i="7"/>
  <c r="F9" i="7"/>
  <c r="F8" i="7"/>
  <c r="F6" i="7"/>
  <c r="F4" i="7"/>
  <c r="I3" i="7"/>
  <c r="G35" i="6"/>
  <c r="D35" i="6"/>
  <c r="I9" i="6" l="1"/>
  <c r="I3" i="6"/>
  <c r="I30" i="6" l="1"/>
  <c r="F8" i="6" l="1"/>
  <c r="F7" i="6"/>
  <c r="F10" i="6"/>
  <c r="F13" i="6" l="1"/>
  <c r="I18" i="6"/>
  <c r="I26" i="6" l="1"/>
  <c r="I33" i="6" l="1"/>
  <c r="I27" i="6"/>
  <c r="F27" i="6"/>
  <c r="I34" i="6"/>
  <c r="F34" i="6"/>
  <c r="I24" i="6"/>
  <c r="F24" i="6"/>
  <c r="I31" i="6"/>
  <c r="F31" i="6"/>
  <c r="I28" i="6"/>
  <c r="F28" i="6"/>
  <c r="F32" i="6"/>
  <c r="I29" i="6"/>
  <c r="F29" i="6"/>
  <c r="I20" i="6"/>
  <c r="F20" i="6"/>
  <c r="I25" i="6"/>
  <c r="F25" i="6"/>
  <c r="I23" i="6"/>
  <c r="F23" i="6"/>
  <c r="I19" i="6"/>
  <c r="F19" i="6"/>
  <c r="I21" i="6"/>
  <c r="F21" i="6"/>
  <c r="I22" i="6"/>
  <c r="F22" i="6"/>
  <c r="I15" i="6"/>
  <c r="F15" i="6"/>
  <c r="I16" i="6"/>
  <c r="F16" i="6"/>
  <c r="I12" i="6"/>
  <c r="F12" i="6"/>
  <c r="I11" i="6"/>
  <c r="F11" i="6"/>
  <c r="I14" i="6"/>
  <c r="F14" i="6"/>
  <c r="I10" i="6"/>
  <c r="I7" i="6"/>
  <c r="I8" i="6"/>
  <c r="I6" i="6"/>
  <c r="F6" i="6"/>
  <c r="I5" i="6"/>
  <c r="F5" i="6"/>
  <c r="I4" i="6"/>
  <c r="F4" i="6"/>
  <c r="I28" i="5"/>
  <c r="I29" i="5"/>
  <c r="I30" i="5"/>
  <c r="I31" i="5"/>
  <c r="I32" i="5"/>
  <c r="I33" i="5"/>
  <c r="I34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4" i="5"/>
  <c r="I5" i="5"/>
  <c r="I6" i="5"/>
  <c r="I7" i="5"/>
  <c r="I8" i="5"/>
  <c r="F26" i="5"/>
  <c r="F27" i="5"/>
  <c r="F28" i="5"/>
  <c r="F29" i="5"/>
  <c r="F30" i="5"/>
  <c r="F31" i="5"/>
  <c r="F32" i="5"/>
  <c r="F33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4" i="5"/>
  <c r="F5" i="5"/>
  <c r="F3" i="5"/>
  <c r="F35" i="6" l="1"/>
  <c r="G35" i="5"/>
  <c r="D35" i="5"/>
  <c r="F35" i="5" s="1"/>
  <c r="I25" i="5"/>
  <c r="F25" i="5"/>
  <c r="I27" i="5"/>
  <c r="I10" i="5"/>
  <c r="F10" i="5"/>
  <c r="I3" i="5"/>
  <c r="G40" i="4" l="1"/>
  <c r="D40" i="4"/>
  <c r="G41" i="3"/>
  <c r="F41" i="3"/>
  <c r="D41" i="3"/>
  <c r="D33" i="2"/>
  <c r="F33" i="2" s="1"/>
  <c r="G33" i="2"/>
  <c r="F40" i="4" l="1"/>
  <c r="I21" i="2"/>
  <c r="F22" i="4" l="1"/>
  <c r="F19" i="4"/>
  <c r="F21" i="4"/>
  <c r="F38" i="4"/>
  <c r="F39" i="4"/>
  <c r="F37" i="4"/>
  <c r="F35" i="4"/>
  <c r="F33" i="4" l="1"/>
  <c r="F28" i="4"/>
  <c r="F8" i="4" l="1"/>
  <c r="F9" i="4"/>
  <c r="F16" i="4"/>
  <c r="I23" i="4" l="1"/>
  <c r="I3" i="4"/>
  <c r="I15" i="4"/>
  <c r="I6" i="4"/>
  <c r="I35" i="4"/>
  <c r="I27" i="4"/>
  <c r="F27" i="4"/>
  <c r="I36" i="4"/>
  <c r="F36" i="4"/>
  <c r="I37" i="4"/>
  <c r="I39" i="4"/>
  <c r="I38" i="4"/>
  <c r="I31" i="4"/>
  <c r="F31" i="4"/>
  <c r="I29" i="4"/>
  <c r="F29" i="4"/>
  <c r="I21" i="4"/>
  <c r="I30" i="4"/>
  <c r="F30" i="4"/>
  <c r="I26" i="4"/>
  <c r="F26" i="4"/>
  <c r="I28" i="4"/>
  <c r="I24" i="4"/>
  <c r="F24" i="4"/>
  <c r="I19" i="4"/>
  <c r="I22" i="4"/>
  <c r="I32" i="4"/>
  <c r="F32" i="4"/>
  <c r="I18" i="4"/>
  <c r="F18" i="4"/>
  <c r="I17" i="4"/>
  <c r="F17" i="4"/>
  <c r="F20" i="4"/>
  <c r="F12" i="4"/>
  <c r="I16" i="4"/>
  <c r="I13" i="4"/>
  <c r="F13" i="4"/>
  <c r="I11" i="4"/>
  <c r="F11" i="4"/>
  <c r="I10" i="4"/>
  <c r="F10" i="4"/>
  <c r="I9" i="4"/>
  <c r="I7" i="4"/>
  <c r="F7" i="4"/>
  <c r="I8" i="4"/>
  <c r="I5" i="4"/>
  <c r="F5" i="4"/>
  <c r="I4" i="4"/>
  <c r="F4" i="4"/>
  <c r="F17" i="3"/>
  <c r="F20" i="3"/>
  <c r="F24" i="3"/>
  <c r="F37" i="3"/>
  <c r="F36" i="3"/>
  <c r="F35" i="3"/>
  <c r="F34" i="3"/>
  <c r="F30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17" i="3"/>
  <c r="I15" i="3"/>
  <c r="I14" i="3"/>
  <c r="I4" i="3"/>
  <c r="I5" i="3"/>
  <c r="I6" i="3"/>
  <c r="I7" i="3"/>
  <c r="I8" i="3"/>
  <c r="I9" i="3"/>
  <c r="I10" i="3"/>
  <c r="I11" i="3"/>
  <c r="I3" i="3"/>
  <c r="F3" i="3" l="1"/>
  <c r="F6" i="3" l="1"/>
  <c r="F13" i="3" l="1"/>
  <c r="I17" i="2" l="1"/>
  <c r="F23" i="2"/>
  <c r="I23" i="2"/>
  <c r="F26" i="3" l="1"/>
  <c r="F23" i="3"/>
  <c r="F27" i="3"/>
  <c r="F14" i="3"/>
  <c r="F15" i="3"/>
  <c r="F12" i="3"/>
  <c r="F10" i="3"/>
  <c r="F9" i="3"/>
  <c r="F8" i="3"/>
  <c r="F4" i="3"/>
  <c r="F27" i="2" l="1"/>
  <c r="F16" i="2"/>
  <c r="F29" i="2" l="1"/>
  <c r="I12" i="2" l="1"/>
  <c r="I5" i="2"/>
  <c r="I3" i="2"/>
  <c r="F8" i="2" l="1"/>
  <c r="F9" i="2"/>
  <c r="F11" i="2"/>
  <c r="F18" i="2"/>
  <c r="F15" i="2"/>
  <c r="F28" i="2"/>
  <c r="I29" i="2" l="1"/>
  <c r="I27" i="2"/>
  <c r="I26" i="2"/>
  <c r="F26" i="2"/>
  <c r="I20" i="2"/>
  <c r="F20" i="2"/>
  <c r="I28" i="2"/>
  <c r="I31" i="2"/>
  <c r="F31" i="2"/>
  <c r="I32" i="2"/>
  <c r="F32" i="2"/>
  <c r="I25" i="2"/>
  <c r="F25" i="2"/>
  <c r="I30" i="2"/>
  <c r="F30" i="2"/>
  <c r="I24" i="2"/>
  <c r="F24" i="2"/>
  <c r="I19" i="2"/>
  <c r="F19" i="2"/>
  <c r="I22" i="2"/>
  <c r="F22" i="2"/>
  <c r="I15" i="2"/>
  <c r="I16" i="2"/>
  <c r="I13" i="2"/>
  <c r="F13" i="2"/>
  <c r="I14" i="2"/>
  <c r="F14" i="2"/>
  <c r="I18" i="2"/>
  <c r="I11" i="2"/>
  <c r="I8" i="2"/>
  <c r="I7" i="2"/>
  <c r="F7" i="2"/>
  <c r="I6" i="2"/>
  <c r="F6" i="2"/>
  <c r="I4" i="2"/>
  <c r="F4" i="2"/>
</calcChain>
</file>

<file path=xl/sharedStrings.xml><?xml version="1.0" encoding="utf-8"?>
<sst xmlns="http://schemas.openxmlformats.org/spreadsheetml/2006/main" count="2966" uniqueCount="280">
  <si>
    <t>#</t>
  </si>
  <si>
    <t>#
LW</t>
  </si>
  <si>
    <t>Filmas 
(Movie)</t>
  </si>
  <si>
    <t>Pajamos 
(GBO)</t>
  </si>
  <si>
    <t>Pajamos 
praeita sav.
(GBO LW)</t>
  </si>
  <si>
    <t>Pakitimas
(Change)</t>
  </si>
  <si>
    <t>Žiūrovų sk. 
(ADM)</t>
  </si>
  <si>
    <t>Seansų sk. 
(Show count)</t>
  </si>
  <si>
    <t>Lankomumo vid.
(Average ADM)</t>
  </si>
  <si>
    <t>Kopijų sk. 
(DCO count)</t>
  </si>
  <si>
    <t>Rodymo savaitė
(Week on screen)</t>
  </si>
  <si>
    <t>Bendros pajamos 
(Total GBO)</t>
  </si>
  <si>
    <t>Bendras žiūrovų sk.
(Total ADM)</t>
  </si>
  <si>
    <t>Premjeros data 
(Release date)</t>
  </si>
  <si>
    <t>Platintojas 
(Distributor)</t>
  </si>
  <si>
    <t>N</t>
  </si>
  <si>
    <t>Kakė Makė: mano filmas</t>
  </si>
  <si>
    <t>-</t>
  </si>
  <si>
    <t>Nj world</t>
  </si>
  <si>
    <t>Broliai Super Mario. Filmas (Super Mario Bros.)</t>
  </si>
  <si>
    <t>Piktieji numirėliai prisikelia (Evil Dead Rise)</t>
  </si>
  <si>
    <t>ACME Film / WB</t>
  </si>
  <si>
    <t>Popiežiaus egzorcistas (Pope's Exorcist )</t>
  </si>
  <si>
    <t>ACME Film / SONY</t>
  </si>
  <si>
    <t>Džonas Vikas 4 (John Wick Chapter Four)</t>
  </si>
  <si>
    <t>ACME Film</t>
  </si>
  <si>
    <t>AIR</t>
  </si>
  <si>
    <t>Mafia Mamma</t>
  </si>
  <si>
    <t>Garsų pasaulio įrašai</t>
  </si>
  <si>
    <t>Erikas Akmenširdis (Erik Stoneheart)</t>
  </si>
  <si>
    <t>Estinfilm</t>
  </si>
  <si>
    <t>Suzume</t>
  </si>
  <si>
    <t>Mizantropas (To Catch a Killer)</t>
  </si>
  <si>
    <t>Adastra Cinema</t>
  </si>
  <si>
    <t>Požemiai ir drakonai. Garbė tarp vagių (Dungeons &amp; Dragons: Honor Among Thieves)</t>
  </si>
  <si>
    <t>Aš ir Jis. Tikra katastrofa (Beautiful disaster)</t>
  </si>
  <si>
    <t>Filip</t>
  </si>
  <si>
    <t>Travolta</t>
  </si>
  <si>
    <t>Trys muškietininkai: D'artanjanas (Three Musketeers: D'Artagnan)</t>
  </si>
  <si>
    <t xml:space="preserve">Theatrical Film Distribution </t>
  </si>
  <si>
    <t>Renfildas (Renfield)</t>
  </si>
  <si>
    <t>Banginis (The Whale)</t>
  </si>
  <si>
    <t>Paradas</t>
  </si>
  <si>
    <t>Po mokyklos</t>
  </si>
  <si>
    <t xml:space="preserve">Mumijos (Mummies) </t>
  </si>
  <si>
    <t>Batuotas katinas Pūkis: paskutinis noras (Puss in Boots: The Last Wish)</t>
  </si>
  <si>
    <t>DuKine / Universal</t>
  </si>
  <si>
    <t>Poetas</t>
  </si>
  <si>
    <t>Salos vaiduokliai (The Banshees of Inisherin)</t>
  </si>
  <si>
    <t>Theatrical Film Distribution / WDSMPI</t>
  </si>
  <si>
    <t>Bučinys (Kysset)</t>
  </si>
  <si>
    <t xml:space="preserve">Sūnus (Son) </t>
  </si>
  <si>
    <t>Broliai lokiai: atgal į žemę (Boonie Bears: Back to Earth)</t>
  </si>
  <si>
    <t>Unlimited Media OÜ</t>
  </si>
  <si>
    <t>Detektyvas Sanis (Inspector Sun and the curse of the black widow)</t>
  </si>
  <si>
    <t>Asteriksas ir Obeliksas: drakonų imperija (Asterix and Obelix: The Middle Kingdom)</t>
  </si>
  <si>
    <t xml:space="preserve"> </t>
  </si>
  <si>
    <t>UFO (UFO Sweden)</t>
  </si>
  <si>
    <t>Sugrįžimas į Seulą (Retour à Séoul)</t>
  </si>
  <si>
    <t>A-One Films</t>
  </si>
  <si>
    <t>Dvyliktosios naktis (La nuit du 12)</t>
  </si>
  <si>
    <t>Visos Bo baimės (Beau is afraid)</t>
  </si>
  <si>
    <t>Petsi Iš Argo (Argonuts)</t>
  </si>
  <si>
    <t>Tvirtas užnugaris (The Covenant)</t>
  </si>
  <si>
    <t>65: Išnykimo riba (65)</t>
  </si>
  <si>
    <t>Pradingusi (Missing)</t>
  </si>
  <si>
    <t>Kilnojamos durys (Portable door)</t>
  </si>
  <si>
    <t>Baltic Content Media</t>
  </si>
  <si>
    <t>Homo Vilutis</t>
  </si>
  <si>
    <t>Propos studija</t>
  </si>
  <si>
    <t>DuKine / Paramount Pictures</t>
  </si>
  <si>
    <t>DuKine / Universal Pictures</t>
  </si>
  <si>
    <t>8 kalnai (The Eight Mountains)</t>
  </si>
  <si>
    <t>Europos kinas</t>
  </si>
  <si>
    <t>Begalybė (L’immensita)</t>
  </si>
  <si>
    <t>Mariupolis 2</t>
  </si>
  <si>
    <t>Metas išeiti (Decision to Leave)</t>
  </si>
  <si>
    <t>Parazitas (Gisaengchung)</t>
  </si>
  <si>
    <t>Paskutinis šokis (Last Dance)</t>
  </si>
  <si>
    <t>Po saulės (After sun)</t>
  </si>
  <si>
    <t>Su meile ir įsiūčiu  (Both Sides of the Blade (Fire!)</t>
  </si>
  <si>
    <t>Rose Namajunas: Aš esu čempionė (Thug Rose)</t>
  </si>
  <si>
    <t>Total (38)</t>
  </si>
  <si>
    <t>Sudegink mano laiškus (Bränn alla mina brev)</t>
  </si>
  <si>
    <t>Juodasis lotosas (Black Lotus)</t>
  </si>
  <si>
    <t>Galaktikos sergėtojai. III dalis (Guardians of the Galaxy Vol. 3)</t>
  </si>
  <si>
    <t>Tar</t>
  </si>
  <si>
    <t xml:space="preserve">N </t>
  </si>
  <si>
    <t>Gražuolė ir Sebastianas. Naujoji karta (Belle &amp; Sebastien – Next Generation)</t>
  </si>
  <si>
    <t>Best Film</t>
  </si>
  <si>
    <t>Viskas iškart ir visur (Everything Everywhere All At Once)</t>
  </si>
  <si>
    <t>Amžinai jauni (Forever Young)</t>
  </si>
  <si>
    <t>Kitų žmonių vaikai (Other People’s Children)</t>
  </si>
  <si>
    <t>Total (30)</t>
  </si>
  <si>
    <t>282 254 €</t>
  </si>
  <si>
    <t>173 340 €</t>
  </si>
  <si>
    <t>Total (37)</t>
  </si>
  <si>
    <t>193 314 €</t>
  </si>
  <si>
    <t>Gegužės 12–14 d. Lietuvos kino teatruose rodytų filmų topas
May 12–14 Lithuanian top</t>
  </si>
  <si>
    <t>Gegužės 5–7 d. Lietuvos kino teatruose rodytų filmų topas
May 5–7 Lithuanian top</t>
  </si>
  <si>
    <t>Balandžio 28–30 d. Lietuvos kino teatruose rodytų filmų topas
April 28–30 Lithuanian top</t>
  </si>
  <si>
    <t>Balandžio 21–23 d. Lietuvos kino teatruose rodytų filmų topas
April 21–23 Lithuanian top</t>
  </si>
  <si>
    <t>171 383 €</t>
  </si>
  <si>
    <t>Akmens sala (Enys Men)</t>
  </si>
  <si>
    <t>BlackBerry</t>
  </si>
  <si>
    <t>Hipnotikai (Hypnotic)</t>
  </si>
  <si>
    <t>Svajoklis Budis 3 (Rock Dog 3)</t>
  </si>
  <si>
    <t>Pamilti dar kartą (Love Again)</t>
  </si>
  <si>
    <t>Stebėk ją (Follow Her)</t>
  </si>
  <si>
    <t>Total (32)</t>
  </si>
  <si>
    <t>Gegužės 19–21 d. Lietuvos kino teatruose rodytų filmų topas
May 19–21 Lithuanian top</t>
  </si>
  <si>
    <t>Lokių čia nėra (No Bears)</t>
  </si>
  <si>
    <t>Nekaltas (The Innocent)</t>
  </si>
  <si>
    <t>Influencerė (Influencer)</t>
  </si>
  <si>
    <t>Greiti ir įsiutę 10 (Fast &amp; Furious 10)</t>
  </si>
  <si>
    <t>Dalilendas (Daliland)</t>
  </si>
  <si>
    <t>96 330 €</t>
  </si>
  <si>
    <t>Gegužės 26–28 d. Lietuvos kino teatruose rodytų filmų topas
May 26–28 Lithuanian top</t>
  </si>
  <si>
    <t>Mažasis Alanas (Lille Allan – den menneskelige antenna)</t>
  </si>
  <si>
    <t>Aš esu Zlatanas (Jag är Zlatan)</t>
  </si>
  <si>
    <t>Bloga nuo savęs (Syk Pike)</t>
  </si>
  <si>
    <t>Bjornas Borgas prieš  Makenrojų (Borg vs. McEnroe)</t>
  </si>
  <si>
    <t>Mano pakvaišęs senis (About My Father)</t>
  </si>
  <si>
    <t>Aš esu Greta (I Am Greta)</t>
  </si>
  <si>
    <t>167 786 €</t>
  </si>
  <si>
    <t>Kandaharas (Kandahar)</t>
  </si>
  <si>
    <t>Undinėlė (The Little Mermaid)</t>
  </si>
  <si>
    <t>Rodeo</t>
  </si>
  <si>
    <t>Total (36)</t>
  </si>
  <si>
    <t>Birželio 2–4 d. Lietuvos kino teatruose rodytų filmų topas
June 2–4 Lithuanian top</t>
  </si>
  <si>
    <t>Šventovė (Sanctuary)</t>
  </si>
  <si>
    <t>Miauricijus Puikusis (Amazing Maurice)</t>
  </si>
  <si>
    <t>124 394 €</t>
  </si>
  <si>
    <t>Žmogus-voras: Aplink Multivistą (Spider-Man: Across The Spider-Verse)</t>
  </si>
  <si>
    <t>DC Superaugintinių lyga (DC League of Super-Pets)</t>
  </si>
  <si>
    <t>Lilas, Lilas, Krokodilas (Lyle Lyle Crodile)</t>
  </si>
  <si>
    <t>Baubas (The Boogeyman)</t>
  </si>
  <si>
    <t>Sekso pabaiga (The End of Sex)</t>
  </si>
  <si>
    <t>Pakalikai 2 (Minions: The Rise of Gru)</t>
  </si>
  <si>
    <t>Sent Omeras (Saint Omer)</t>
  </si>
  <si>
    <t>Birželio 9–11 d. Lietuvos kino teatruose rodytų filmų topas
June 9–11 Lithuanian top</t>
  </si>
  <si>
    <t>180 026 €</t>
  </si>
  <si>
    <t>Robotai (Robots)</t>
  </si>
  <si>
    <t xml:space="preserve">ACME Film </t>
  </si>
  <si>
    <t>Transformeriai. Žvėrių atgimimas (Transformers: Rise of the Beasts)</t>
  </si>
  <si>
    <t>Asteroidų miestas (Asteroid City)</t>
  </si>
  <si>
    <t>Dičkis šuo Klifordas (Clifford the Big Red Dog)</t>
  </si>
  <si>
    <t>Total (31)</t>
  </si>
  <si>
    <t>Birželio 16–18 d. Lietuvos kino teatruose rodytų filmų topas
June 16–18 Lithuanian top</t>
  </si>
  <si>
    <t>152 744 €</t>
  </si>
  <si>
    <t>Blyksnis (Flash)</t>
  </si>
  <si>
    <t>Kas nužudė Megę? (Maggie Moore(s)</t>
  </si>
  <si>
    <t>Liepsnojanti širdis (Fireheart)</t>
  </si>
  <si>
    <t>Mano mažasis karalius (King)</t>
  </si>
  <si>
    <t>Stichijos (Elemental)</t>
  </si>
  <si>
    <t xml:space="preserve"> N</t>
  </si>
  <si>
    <t>Aklas gluosnis, mieganti  moteris (Blind Willow, Sleeping Woman)</t>
  </si>
  <si>
    <t>Suteik man sparnus (Donne moi des Ailes)</t>
  </si>
  <si>
    <t>Total (39)</t>
  </si>
  <si>
    <t>Dukine Film Distribution / Paramount Pictures</t>
  </si>
  <si>
    <t>Dukine Film Distribution / Universal Pictures</t>
  </si>
  <si>
    <t>Birželio 23–25 d. Lietuvos kino teatruose rodytų filmų topas
June 23–25 Lithuanian top</t>
  </si>
  <si>
    <t>212 746 €</t>
  </si>
  <si>
    <t>Maskaradas (Mascarade)</t>
  </si>
  <si>
    <t>Bitė Maja. Auksinis kiaušinis (Maya the Bee 3: The Golden Orb)</t>
  </si>
  <si>
    <t>Nieko asmeniško (No Hard Feelings)</t>
  </si>
  <si>
    <t>Vesper</t>
  </si>
  <si>
    <t>Įsikūnijimas. Vandens kelias (Avatar: The Way of Water)</t>
  </si>
  <si>
    <t>Lukas (Luca)</t>
  </si>
  <si>
    <t>Piktųjų karta</t>
  </si>
  <si>
    <t>Kino kultas</t>
  </si>
  <si>
    <t>101 857 €</t>
  </si>
  <si>
    <t>Birželio 30–liepos 2 d. Lietuvos kino teatruose rodytų filmų topas
June 30–July 2 Lithuanian top</t>
  </si>
  <si>
    <t>Dar vienas alibi (Alibi.com 2)</t>
  </si>
  <si>
    <t>Indiana Džounsas ir lemties artefaktas (Indiana Jones and the Dial of Destiny)</t>
  </si>
  <si>
    <t>Jūrų pabaisa. Rubė Gilman (Ruby Gillman, Teenage Kraken)</t>
  </si>
  <si>
    <t>Total (35)</t>
  </si>
  <si>
    <t>Liepos 7–9 d. Lietuvos kino teatruose rodytų filmų topas
July 7–9 Lithuanian top</t>
  </si>
  <si>
    <t>168 263 €</t>
  </si>
  <si>
    <t>H4Z4RD</t>
  </si>
  <si>
    <t>Tūnąs tamsoje: Raudonos durys (Insidious: The Red Door)</t>
  </si>
  <si>
    <t>Geras tripas (Joy Ride)</t>
  </si>
  <si>
    <t>Liepos 14–16 d. Lietuvos kino teatruose rodytų filmų topas
July 14–16 Lithuanian top</t>
  </si>
  <si>
    <t>123 219 €</t>
  </si>
  <si>
    <t>Mavka: miško siela (Mavka Forest Song)</t>
  </si>
  <si>
    <t>Cukrus ir žvaigždės (Sugar and Stars)</t>
  </si>
  <si>
    <t>Neįmanoma misija: Mirtinas atpildas. Pirma dalis (Mission: Impossible - Dead Reckoning Part One)</t>
  </si>
  <si>
    <t>Column1</t>
  </si>
  <si>
    <t>Liepos 21–23 d. Lietuvos kino teatruose rodytų filmų topas
July 21–23 Lithuanian top</t>
  </si>
  <si>
    <t>Barbė (Barbie)</t>
  </si>
  <si>
    <t>Kitų žmonių vaikai (Other People's Children)</t>
  </si>
  <si>
    <t>Mauricijus Puikusis (Amazing Maurice)</t>
  </si>
  <si>
    <t>Bloga nuo savęs (Syk pike)</t>
  </si>
  <si>
    <t>Openheimeris (Oppenheimer)</t>
  </si>
  <si>
    <t>Raudonoji panda (Turning Red)</t>
  </si>
  <si>
    <t>Dainuok 2 (Sing 2)</t>
  </si>
  <si>
    <t>Blogiukai (The Bad Guys)</t>
  </si>
  <si>
    <t>Ričis didysis (Richard the Stork and the Mystery of the Great Jewel)</t>
  </si>
  <si>
    <t>Total (33)</t>
  </si>
  <si>
    <t>Liepos 28–30 d. Lietuvos kino teatruose rodytų filmų topas
July 28–30 Lithuanian top</t>
  </si>
  <si>
    <t>Voratinklis (Cobweb)</t>
  </si>
  <si>
    <t>Karavadžo šešėlis (Caravaggio's Shadow)</t>
  </si>
  <si>
    <t>Dvaras, kuriame vaidenasi (Haunted Mansion)</t>
  </si>
  <si>
    <t>502 852 €</t>
  </si>
  <si>
    <t>Apkabink mane (Hug Me)</t>
  </si>
  <si>
    <t>Total (22)</t>
  </si>
  <si>
    <t>144 402 €</t>
  </si>
  <si>
    <t>Rugpjūčio 04–06 d. Lietuvos kino teatruose rodytų filmų topas
August 04–06 Lithuanian top</t>
  </si>
  <si>
    <t>371 660 €</t>
  </si>
  <si>
    <t>Megalodonas 2: bedugnė (Meg 2: The Trench)</t>
  </si>
  <si>
    <t>Vėžliukai nindzės: mutantų siautėjimas (Teenage Mutant Ninja Turtles: Mutant Mayhem)</t>
  </si>
  <si>
    <t>Ežiukas Sonic 2 (Sonic the Hedgehog 2)</t>
  </si>
  <si>
    <t>Aklas gluosnis, mieganti moteris (Blind Willow, Sleeping Woman )</t>
  </si>
  <si>
    <t>Total (25)</t>
  </si>
  <si>
    <t>Rugpjūčio 11–13 d. Lietuvos kino teatruose rodytų filmų topas
August 11–13 Lithuanian top</t>
  </si>
  <si>
    <t>273 715 €</t>
  </si>
  <si>
    <t>Gran Turismo</t>
  </si>
  <si>
    <t>Auksasnapis (Goldbeak)</t>
  </si>
  <si>
    <t>Katytė ir aš (Cat's Life)</t>
  </si>
  <si>
    <t>Theatrical Film Distribution</t>
  </si>
  <si>
    <t>Kol mirtis mus išskirs (Til Death Do Us Part)</t>
  </si>
  <si>
    <t>Total (27)</t>
  </si>
  <si>
    <t>Rugpjūčio 18–20 d. Lietuvos kino teatruose rodytų filmų topas
August 18–20 Lithuanian top</t>
  </si>
  <si>
    <t>Disko berniukas (Disco Boy)</t>
  </si>
  <si>
    <t>Mėlynas vabalas (Blue Beetle)</t>
  </si>
  <si>
    <t>Paskutinė Demetros kelionė (Last Voyage of Demeter)</t>
  </si>
  <si>
    <t>Sacharos princai (Princes of the Desert)</t>
  </si>
  <si>
    <t>Laisvės garsas (Sound of Freedom)</t>
  </si>
  <si>
    <t>Keistas pasaulis (Strange World)</t>
  </si>
  <si>
    <t>202 779 €</t>
  </si>
  <si>
    <t>Rugpjūčio 25–27 d. Lietuvos kino teatruose rodytų filmų topas
August 25–27 Lithuanian top</t>
  </si>
  <si>
    <t>150 337 €</t>
  </si>
  <si>
    <t>Du bilietai į Graikiją (Les Cyclades)</t>
  </si>
  <si>
    <t>Kalbėk su manimi (Talk To Me)</t>
  </si>
  <si>
    <t>Laiškas Ukrainai</t>
  </si>
  <si>
    <t>Taip toliau</t>
  </si>
  <si>
    <t>Greiti ir pūkuoti (Rally Road Racers)</t>
  </si>
  <si>
    <t>Atpildas (Retribution)</t>
  </si>
  <si>
    <t>Kartu iš meilės šunims (Puppy love)</t>
  </si>
  <si>
    <t>Total (34)</t>
  </si>
  <si>
    <t>Rugsėjo 1–3 d. Lietuvos kino teatruose rodytų filmų topas
September 1–3 Lithuanian top</t>
  </si>
  <si>
    <t>Karo ponis (War Pony)</t>
  </si>
  <si>
    <t>Zoja ir Audra (Tempête)</t>
  </si>
  <si>
    <t>Lesė.Naujas nuotykis (Lassie – Ein neues Abenteuer)</t>
  </si>
  <si>
    <t>Žana Diu Bari. Karaliaus favoritė (Jeanne Du Barry)</t>
  </si>
  <si>
    <t>Paskutinis autobusas (Last Bus)</t>
  </si>
  <si>
    <t>Ekvalaizeris 3: Paskutinė kova (Equalizer 3)</t>
  </si>
  <si>
    <t>Gilyn (The Dive)</t>
  </si>
  <si>
    <t>155 449 €</t>
  </si>
  <si>
    <t>Rugsėjo 8–10 d. Lietuvos kino teatruose rodytų filmų topas
September 8–10 Lithuanian top</t>
  </si>
  <si>
    <t>207 338 €</t>
  </si>
  <si>
    <t>Vakar (Yesterday)</t>
  </si>
  <si>
    <t>Vienuolė 2 (The Nun II)</t>
  </si>
  <si>
    <t>Preview</t>
  </si>
  <si>
    <t>P</t>
  </si>
  <si>
    <t>Stebuklingoji boružėlė ir juodasis katinas (Ladybug &amp; Cat Noir: The Awakening)</t>
  </si>
  <si>
    <t>Rugsėjo 15–17 d. Lietuvos kino teatruose rodytų filmų topas
September 15–17 Lithuanian top</t>
  </si>
  <si>
    <t>142 341 €</t>
  </si>
  <si>
    <t>After. Amžinai (After Everything)</t>
  </si>
  <si>
    <t>Venecijos šmėklos (A Haunting in Venice)</t>
  </si>
  <si>
    <t>Dovbušas (Dovbush)</t>
  </si>
  <si>
    <t>Film Jam</t>
  </si>
  <si>
    <t>Makliai (Die Mucklas...und wie sie zu Pettersson und Findus kamen)</t>
  </si>
  <si>
    <t>Jis gyvena viduje (It Lives Inside)</t>
  </si>
  <si>
    <t>Nesunaikinami 4 (Expend4bles)</t>
  </si>
  <si>
    <t>Dideli vaikai (Quand du seras grand)</t>
  </si>
  <si>
    <t>Katakas. Kelionė į ledynų kraštą (Katak: The Brave Beluga)</t>
  </si>
  <si>
    <t>Tu man nieko neprimeni</t>
  </si>
  <si>
    <t>179 899 €</t>
  </si>
  <si>
    <t>Rugsėjo 22–24 d. Lietuvos kino teatruose rodytų filmų topas
September 22–24 Lithuanian top</t>
  </si>
  <si>
    <t>Rugsėjo 29–spalio 1 d. Lietuvos kino teatruose rodytų filmų topas
September 29–October 1 Lithuanian top</t>
  </si>
  <si>
    <t>Total (29)</t>
  </si>
  <si>
    <t>209 342 €</t>
  </si>
  <si>
    <t>Bučiuoju, Juozas</t>
  </si>
  <si>
    <t>Cinema Ads</t>
  </si>
  <si>
    <t>Tiesiog sėkmė (Coup de chance)</t>
  </si>
  <si>
    <t>Pjūklas X (Saw X)</t>
  </si>
  <si>
    <t>Paslaptinga požemių karalystė (The Secret Kingdom)</t>
  </si>
  <si>
    <t>Aš gyvas</t>
  </si>
  <si>
    <t>Stambus planas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</si>
</sst>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;;;"/>
    <numFmt numFmtId="165" formatCode="#,##0\ &quot;€&quot;"/>
    <numFmt numFmtId="166" formatCode="yyyy/mm/dd;@"/>
    <numFmt numFmtId="167" formatCode="0;[Red]0"/>
    <numFmt numFmtId="168" formatCode="#,##0;[Red]#,##0"/>
    <numFmt numFmtId="169" formatCode="#,##0\ &quot;€&quot;;[Red]#,##0\ &quot;€&quot;"/>
  </numFmts>
  <fonts count="10" x14ac:knownFonts="1">
    <font>
      <sz val="9"/>
      <color theme="1"/>
      <name val="Arial"/>
      <family val="2"/>
      <charset val="186"/>
    </font>
    <font>
      <sz val="9"/>
      <color theme="1"/>
      <name val="Verdana"/>
      <family val="2"/>
      <charset val="186"/>
    </font>
    <font>
      <b/>
      <sz val="12"/>
      <color theme="1"/>
      <name val="Verdana"/>
      <family val="2"/>
      <charset val="186"/>
    </font>
    <font>
      <sz val="11"/>
      <color theme="1"/>
      <name val="Calibri"/>
      <family val="2"/>
      <scheme val="minor"/>
    </font>
    <font>
      <sz val="9"/>
      <name val="Verdana"/>
      <family val="2"/>
      <charset val="186"/>
    </font>
    <font>
      <sz val="10"/>
      <color theme="1"/>
      <name val="Verdana"/>
      <family val="2"/>
      <charset val="186"/>
    </font>
    <font>
      <sz val="10"/>
      <name val="Verdana"/>
      <family val="2"/>
      <charset val="186"/>
    </font>
    <font>
      <b/>
      <sz val="10"/>
      <color theme="1"/>
      <name val="Verdana"/>
      <family val="2"/>
      <charset val="186"/>
    </font>
    <font>
      <sz val="8"/>
      <name val="Arial"/>
      <family val="2"/>
      <charset val="186"/>
    </font>
    <font>
      <sz val="10"/>
      <color rgb="FF000000"/>
      <name val="Verdana"/>
      <family val="2"/>
      <charset val="186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7F5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7F5F0"/>
        <bgColor rgb="FF000000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</borders>
  <cellStyleXfs count="2">
    <xf numFmtId="0" fontId="0" fillId="0" borderId="0"/>
    <xf numFmtId="0" fontId="3" fillId="0" borderId="0"/>
  </cellStyleXfs>
  <cellXfs count="12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165" fontId="1" fillId="0" borderId="0" xfId="0" applyNumberFormat="1" applyFont="1"/>
    <xf numFmtId="3" fontId="1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49" fontId="4" fillId="0" borderId="0" xfId="0" applyNumberFormat="1" applyFont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/>
    </xf>
    <xf numFmtId="166" fontId="1" fillId="0" borderId="0" xfId="0" applyNumberFormat="1" applyFont="1"/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vertical="center" wrapText="1"/>
    </xf>
    <xf numFmtId="165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65" fontId="7" fillId="0" borderId="0" xfId="1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3" fontId="7" fillId="0" borderId="0" xfId="1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left" vertical="center" wrapText="1"/>
    </xf>
    <xf numFmtId="165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3" fontId="5" fillId="0" borderId="0" xfId="1" applyNumberFormat="1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165" fontId="5" fillId="0" borderId="0" xfId="1" applyNumberFormat="1" applyFont="1" applyAlignment="1">
      <alignment horizontal="center" vertical="center"/>
    </xf>
    <xf numFmtId="0" fontId="4" fillId="0" borderId="0" xfId="0" applyFont="1"/>
    <xf numFmtId="3" fontId="1" fillId="0" borderId="0" xfId="0" applyNumberFormat="1" applyFont="1"/>
    <xf numFmtId="165" fontId="6" fillId="0" borderId="0" xfId="1" applyNumberFormat="1" applyFont="1" applyAlignment="1">
      <alignment horizontal="center" vertical="center"/>
    </xf>
    <xf numFmtId="3" fontId="6" fillId="0" borderId="0" xfId="1" applyNumberFormat="1" applyFont="1" applyAlignment="1">
      <alignment horizontal="center" vertical="center"/>
    </xf>
    <xf numFmtId="164" fontId="6" fillId="3" borderId="1" xfId="0" applyNumberFormat="1" applyFont="1" applyFill="1" applyBorder="1" applyAlignment="1">
      <alignment horizontal="center" wrapText="1"/>
    </xf>
    <xf numFmtId="164" fontId="6" fillId="3" borderId="2" xfId="0" applyNumberFormat="1" applyFont="1" applyFill="1" applyBorder="1" applyAlignment="1">
      <alignment horizontal="center" wrapText="1"/>
    </xf>
    <xf numFmtId="49" fontId="6" fillId="3" borderId="2" xfId="0" applyNumberFormat="1" applyFont="1" applyFill="1" applyBorder="1" applyAlignment="1">
      <alignment horizontal="center" wrapText="1"/>
    </xf>
    <xf numFmtId="49" fontId="6" fillId="3" borderId="3" xfId="0" applyNumberFormat="1" applyFont="1" applyFill="1" applyBorder="1" applyAlignment="1">
      <alignment horizontal="center" wrapText="1"/>
    </xf>
    <xf numFmtId="0" fontId="5" fillId="3" borderId="0" xfId="0" applyFont="1" applyFill="1"/>
    <xf numFmtId="165" fontId="5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5" fontId="6" fillId="3" borderId="2" xfId="0" applyNumberFormat="1" applyFont="1" applyFill="1" applyBorder="1" applyAlignment="1">
      <alignment horizontal="center" wrapText="1"/>
    </xf>
    <xf numFmtId="14" fontId="6" fillId="3" borderId="2" xfId="0" applyNumberFormat="1" applyFont="1" applyFill="1" applyBorder="1" applyAlignment="1">
      <alignment horizontal="center" wrapText="1"/>
    </xf>
    <xf numFmtId="14" fontId="6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1" fillId="0" borderId="0" xfId="0" applyNumberFormat="1" applyFont="1"/>
    <xf numFmtId="49" fontId="6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/>
    </xf>
    <xf numFmtId="49" fontId="1" fillId="0" borderId="0" xfId="0" applyNumberFormat="1" applyFont="1"/>
    <xf numFmtId="10" fontId="6" fillId="3" borderId="2" xfId="0" applyNumberFormat="1" applyFont="1" applyFill="1" applyBorder="1" applyAlignment="1">
      <alignment horizontal="center" wrapText="1"/>
    </xf>
    <xf numFmtId="10" fontId="1" fillId="0" borderId="0" xfId="0" applyNumberFormat="1" applyFont="1"/>
    <xf numFmtId="3" fontId="6" fillId="3" borderId="2" xfId="0" applyNumberFormat="1" applyFont="1" applyFill="1" applyBorder="1" applyAlignment="1">
      <alignment horizontal="center" wrapText="1"/>
    </xf>
    <xf numFmtId="1" fontId="6" fillId="3" borderId="2" xfId="0" applyNumberFormat="1" applyFont="1" applyFill="1" applyBorder="1" applyAlignment="1">
      <alignment horizontal="center" wrapText="1"/>
    </xf>
    <xf numFmtId="1" fontId="1" fillId="0" borderId="0" xfId="0" applyNumberFormat="1" applyFont="1"/>
    <xf numFmtId="49" fontId="6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0" fontId="1" fillId="3" borderId="0" xfId="0" applyFont="1" applyFill="1"/>
    <xf numFmtId="0" fontId="5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left" vertical="center"/>
    </xf>
    <xf numFmtId="10" fontId="1" fillId="3" borderId="0" xfId="0" applyNumberFormat="1" applyFont="1" applyFill="1" applyAlignment="1">
      <alignment horizontal="center" vertical="center"/>
    </xf>
    <xf numFmtId="3" fontId="1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 wrapText="1"/>
    </xf>
    <xf numFmtId="3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166" fontId="6" fillId="3" borderId="2" xfId="0" applyNumberFormat="1" applyFont="1" applyFill="1" applyBorder="1" applyAlignment="1">
      <alignment horizontal="center" wrapText="1"/>
    </xf>
    <xf numFmtId="10" fontId="5" fillId="3" borderId="0" xfId="0" applyNumberFormat="1" applyFont="1" applyFill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 vertical="center"/>
    </xf>
    <xf numFmtId="0" fontId="9" fillId="5" borderId="0" xfId="0" applyFont="1" applyFill="1"/>
    <xf numFmtId="49" fontId="9" fillId="0" borderId="0" xfId="0" applyNumberFormat="1" applyFont="1" applyAlignment="1">
      <alignment horizontal="center" vertical="center"/>
    </xf>
    <xf numFmtId="49" fontId="9" fillId="0" borderId="0" xfId="0" applyNumberFormat="1" applyFont="1"/>
    <xf numFmtId="49" fontId="6" fillId="3" borderId="4" xfId="0" applyNumberFormat="1" applyFont="1" applyFill="1" applyBorder="1" applyAlignment="1">
      <alignment horizontal="center" wrapText="1"/>
    </xf>
    <xf numFmtId="49" fontId="6" fillId="0" borderId="0" xfId="0" applyNumberFormat="1" applyFont="1"/>
    <xf numFmtId="49" fontId="9" fillId="2" borderId="0" xfId="0" applyNumberFormat="1" applyFont="1" applyFill="1"/>
    <xf numFmtId="0" fontId="1" fillId="2" borderId="0" xfId="0" applyFont="1" applyFill="1"/>
    <xf numFmtId="167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8" fontId="6" fillId="0" borderId="0" xfId="1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169" fontId="6" fillId="0" borderId="0" xfId="1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49" fontId="5" fillId="0" borderId="0" xfId="0" applyNumberFormat="1" applyFont="1"/>
    <xf numFmtId="169" fontId="5" fillId="0" borderId="0" xfId="1" applyNumberFormat="1" applyFont="1" applyAlignment="1">
      <alignment horizontal="center" vertical="center"/>
    </xf>
    <xf numFmtId="168" fontId="5" fillId="0" borderId="0" xfId="1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left" vertical="center" wrapText="1"/>
    </xf>
    <xf numFmtId="169" fontId="6" fillId="0" borderId="0" xfId="0" applyNumberFormat="1" applyFont="1" applyFill="1" applyAlignment="1">
      <alignment horizontal="center" vertical="center"/>
    </xf>
    <xf numFmtId="165" fontId="6" fillId="0" borderId="0" xfId="0" applyNumberFormat="1" applyFont="1" applyFill="1" applyAlignment="1">
      <alignment horizontal="center" vertical="center"/>
    </xf>
    <xf numFmtId="10" fontId="6" fillId="0" borderId="0" xfId="0" applyNumberFormat="1" applyFont="1" applyFill="1" applyAlignment="1">
      <alignment horizontal="center" vertical="center"/>
    </xf>
    <xf numFmtId="168" fontId="6" fillId="0" borderId="0" xfId="0" applyNumberFormat="1" applyFont="1" applyFill="1" applyAlignment="1">
      <alignment horizontal="center" vertical="center"/>
    </xf>
    <xf numFmtId="167" fontId="6" fillId="0" borderId="0" xfId="0" applyNumberFormat="1" applyFont="1" applyFill="1" applyAlignment="1">
      <alignment horizontal="center" vertical="center"/>
    </xf>
    <xf numFmtId="166" fontId="6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49" fontId="6" fillId="0" borderId="0" xfId="0" applyNumberFormat="1" applyFont="1" applyFill="1"/>
    <xf numFmtId="3" fontId="6" fillId="0" borderId="0" xfId="0" applyNumberFormat="1" applyFont="1" applyFill="1" applyAlignment="1">
      <alignment horizontal="center" vertical="center"/>
    </xf>
    <xf numFmtId="0" fontId="4" fillId="0" borderId="0" xfId="0" applyFont="1" applyFill="1"/>
    <xf numFmtId="49" fontId="6" fillId="0" borderId="0" xfId="0" applyNumberFormat="1" applyFont="1" applyFill="1" applyAlignment="1">
      <alignment horizontal="center" vertical="center"/>
    </xf>
  </cellXfs>
  <cellStyles count="2">
    <cellStyle name="Normal" xfId="0" builtinId="0"/>
    <cellStyle name="Normal 2 4" xfId="1" xr:uid="{00000000-0005-0000-0000-000001000000}"/>
  </cellStyles>
  <dxfs count="75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68" formatCode="#,##0;[Red]#,##0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68" formatCode="#,##0;[Red]#,##0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ill>
        <patternFill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ill>
        <patternFill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rgb="FFD1E7D8"/>
          <bgColor theme="8" tint="0.79998168889431442"/>
        </patternFill>
      </fill>
    </dxf>
    <dxf>
      <fill>
        <patternFill>
          <bgColor theme="4" tint="0.79998168889431442"/>
        </patternFill>
      </fill>
    </dxf>
  </dxfs>
  <tableStyles count="2" defaultTableStyle="TableStyleMedium2" defaultPivotStyle="PivotStyleLight16">
    <tableStyle name="Table Style 1" pivot="0" count="1" xr9:uid="{0EEDF895-ABA7-4BDC-BFB1-553B25394E7D}">
      <tableStyleElement type="wholeTable" dxfId="749"/>
    </tableStyle>
    <tableStyle name="Table Style 2" pivot="0" count="1" xr9:uid="{27931E3F-712C-485E-A1F4-53DFE01A40F1}">
      <tableStyleElement type="wholeTable" dxfId="748"/>
    </tableStyle>
  </tableStyles>
  <colors>
    <mruColors>
      <color rgb="FFE7F5F0"/>
      <color rgb="FFD3D3D3"/>
      <color rgb="FFEDF7F7"/>
      <color rgb="FFE8EEF8"/>
      <color rgb="FFDDEDEF"/>
      <color rgb="FFD1E7D8"/>
      <color rgb="FFDEEEE3"/>
      <color rgb="FFD6EADC"/>
      <color rgb="FFBFD3C5"/>
      <color rgb="FFC9E5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F40931D0-028A-4A69-B922-143502102331}" name="Table13245678910111213141517161819202122232426" displayName="Table13245678910111213141517161819202122232426" ref="A2:P34" totalsRowCount="1" headerRowDxfId="34" dataDxfId="33" totalsRowDxfId="32" headerRowBorderDxfId="31">
  <sortState xmlns:xlrd2="http://schemas.microsoft.com/office/spreadsheetml/2017/richdata2" ref="A3:P33">
    <sortCondition descending="1" ref="D3:D33"/>
  </sortState>
  <tableColumns count="16">
    <tableColumn id="1" xr3:uid="{485ADAEA-B828-45FA-B965-BDA3738C4DBE}" name="#" totalsRowDxfId="15"/>
    <tableColumn id="2" xr3:uid="{B03A4274-D0D6-4F4E-9FF5-81169422A38B}" name="#_x000a_LW" dataDxfId="30" totalsRowDxfId="14"/>
    <tableColumn id="3" xr3:uid="{D071ED7C-F852-4D16-8479-F2B4DCA88E20}" name="Filmas _x000a_(Movie)" totalsRowLabel="Total (31)" dataDxfId="29" totalsRowDxfId="13"/>
    <tableColumn id="4" xr3:uid="{A1001CCF-04FE-49E8-95AB-C5880C1191C5}" name="Pajamos _x000a_(GBO)" totalsRowFunction="sum" dataDxfId="28" totalsRowDxfId="1"/>
    <tableColumn id="5" xr3:uid="{CAFD258D-B803-4808-968D-B76A6C0ACA7E}" name="Pajamos _x000a_praeita sav._x000a_(GBO LW)" totalsRowLabel="209 342 €" dataDxfId="27" totalsRowDxfId="12"/>
    <tableColumn id="6" xr3:uid="{88435FD9-6CD3-4751-AC42-251F45E51091}" name="Pakitimas_x000a_(Change)" totalsRowFunction="custom" dataDxfId="26" totalsRowDxfId="11">
      <calculatedColumnFormula>(D3-E3)/E3</calculatedColumnFormula>
      <totalsRowFormula>(D34-E34)/E34</totalsRowFormula>
    </tableColumn>
    <tableColumn id="7" xr3:uid="{5A51BA4C-58CA-4DA8-864E-1419A5F13429}" name="Žiūrovų sk. _x000a_(ADM)" totalsRowFunction="sum" dataDxfId="25" totalsRowDxfId="0"/>
    <tableColumn id="8" xr3:uid="{EC68C3BC-DDCB-42A6-AC79-76875C433714}" name="Seansų sk. _x000a_(Show count)" dataDxfId="24" totalsRowDxfId="10"/>
    <tableColumn id="9" xr3:uid="{30379420-C7FF-4D1F-B895-C7E80D09DFA3}" name="Lankomumo vid._x000a_(Average ADM)" dataDxfId="23" totalsRowDxfId="9">
      <calculatedColumnFormula>G3/H3</calculatedColumnFormula>
    </tableColumn>
    <tableColumn id="10" xr3:uid="{0D8A5AD9-8689-4255-BEE2-DEB9715B44D7}" name="Kopijų sk. _x000a_(DCO count)" dataDxfId="22" totalsRowDxfId="8"/>
    <tableColumn id="11" xr3:uid="{5FD9B5AB-B3D1-43ED-B5C6-CBC568DECB85}" name="Rodymo savaitė_x000a_(Week on screen)" dataDxfId="21" totalsRowDxfId="7"/>
    <tableColumn id="12" xr3:uid="{32B5D9A7-A112-479D-82A6-AF36914F84A8}" name="Bendros pajamos _x000a_(Total GBO)" dataDxfId="20" totalsRowDxfId="6"/>
    <tableColumn id="13" xr3:uid="{AF809824-8970-45AA-A9F6-A7C06CE43B96}" name="Bendras žiūrovų sk._x000a_(Total ADM)" dataDxfId="19" totalsRowDxfId="5"/>
    <tableColumn id="14" xr3:uid="{7EBCDF36-806A-4B73-ABE4-2A765F4E305E}" name="Premjeros data _x000a_(Release date)" dataDxfId="18" totalsRowDxfId="4"/>
    <tableColumn id="15" xr3:uid="{FD3D6EB2-DDC6-4F54-B94D-FE7E5478E8C7}" name="Platintojas _x000a_(Distributor)" totalsRowLabel=" " dataDxfId="17" totalsRowDxfId="3"/>
    <tableColumn id="16" xr3:uid="{10CAA648-79A6-4938-A409-D8CBC4DC4EDD}" name="Column1" dataDxfId="16" totalsRowDxfId="2"/>
  </tableColumns>
  <tableStyleInfo name="TableStyleLight1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7410C664-A394-44CE-A104-9E446828EDCA}" name="Table13245678910111213141517" displayName="Table13245678910111213141517" ref="A2:P25" totalsRowCount="1" headerRowDxfId="498" dataDxfId="496" totalsRowDxfId="495" headerRowBorderDxfId="497">
  <sortState xmlns:xlrd2="http://schemas.microsoft.com/office/spreadsheetml/2017/richdata2" ref="A3:P24">
    <sortCondition descending="1" ref="D3:D24"/>
  </sortState>
  <tableColumns count="16">
    <tableColumn id="1" xr3:uid="{9F6EE573-9229-4C8D-B810-03957FA734D8}" name="#" totalsRowDxfId="494"/>
    <tableColumn id="2" xr3:uid="{D873BB63-4760-4BD8-94F7-255E2A75C6B0}" name="#_x000a_LW" dataDxfId="493" totalsRowDxfId="492"/>
    <tableColumn id="3" xr3:uid="{25A09D42-B6E2-4CAE-A53E-C573906C3652}" name="Filmas _x000a_(Movie)" totalsRowLabel="Total (22)" dataDxfId="491" totalsRowDxfId="490"/>
    <tableColumn id="4" xr3:uid="{A99BAC1F-CD83-4279-BB4A-95A66D6CAFF1}" name="Pajamos _x000a_(GBO)" totalsRowFunction="sum" dataDxfId="489" totalsRowDxfId="488"/>
    <tableColumn id="5" xr3:uid="{56B434D2-B669-4B41-AB3B-89C194B31C1D}" name="Pajamos _x000a_praeita sav._x000a_(GBO LW)" totalsRowLabel="502 852 €" dataDxfId="487" totalsRowDxfId="486"/>
    <tableColumn id="6" xr3:uid="{86551533-BBB4-46CA-AFDC-136D8B819D68}" name="Pakitimas_x000a_(Change)" totalsRowFunction="custom" dataDxfId="485" totalsRowDxfId="484">
      <calculatedColumnFormula>(D3-E3)/E3</calculatedColumnFormula>
      <totalsRowFormula>(D25-E25)/E25</totalsRowFormula>
    </tableColumn>
    <tableColumn id="7" xr3:uid="{C1E4330F-A8E3-4741-9888-03BF0D7B5014}" name="Žiūrovų sk. _x000a_(ADM)" totalsRowFunction="sum" dataDxfId="483" totalsRowDxfId="482"/>
    <tableColumn id="8" xr3:uid="{A3B1213A-F4ED-45E5-9B3B-B06C7775404F}" name="Seansų sk. _x000a_(Show count)" dataDxfId="481" totalsRowDxfId="480"/>
    <tableColumn id="9" xr3:uid="{FF8C486A-99D4-4F02-A3E7-79056FFAF288}" name="Lankomumo vid._x000a_(Average ADM)" dataDxfId="479" totalsRowDxfId="478">
      <calculatedColumnFormula>G3/H3</calculatedColumnFormula>
    </tableColumn>
    <tableColumn id="10" xr3:uid="{C3684731-AE8B-4799-83FF-2BB5CFB8EA84}" name="Kopijų sk. _x000a_(DCO count)" dataDxfId="477" totalsRowDxfId="476"/>
    <tableColumn id="11" xr3:uid="{276B458C-C3AD-439B-9735-42B1C7C55215}" name="Rodymo savaitė_x000a_(Week on screen)" dataDxfId="475" totalsRowDxfId="474"/>
    <tableColumn id="12" xr3:uid="{48641BC1-9969-4EAD-810F-90B9864A3397}" name="Bendros pajamos _x000a_(Total GBO)" dataDxfId="473" totalsRowDxfId="472"/>
    <tableColumn id="13" xr3:uid="{7C028357-41C1-4ACA-903C-49C988187A18}" name="Bendras žiūrovų sk._x000a_(Total ADM)" dataDxfId="471" totalsRowDxfId="470"/>
    <tableColumn id="14" xr3:uid="{1532FB37-2499-4D26-A627-4616295C3CCB}" name="Premjeros data _x000a_(Release date)" dataDxfId="469" totalsRowDxfId="468"/>
    <tableColumn id="15" xr3:uid="{814A8F04-D132-4680-8B98-F3FBD28CD6C2}" name="Platintojas _x000a_(Distributor)" totalsRowLabel=" " dataDxfId="467" totalsRowDxfId="466"/>
    <tableColumn id="16" xr3:uid="{3D9D1DF4-F1A2-4FC8-A798-D6C1D6D61545}" name="Column1" dataDxfId="465" totalsRowDxfId="464"/>
  </tableColumns>
  <tableStyleInfo name="TableStyleLight1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35E511CF-405E-4074-A740-5B380970E756}" name="Table132456789101112131415" displayName="Table132456789101112131415" ref="A2:P36" totalsRowCount="1" headerRowDxfId="463" dataDxfId="461" totalsRowDxfId="460" headerRowBorderDxfId="462">
  <sortState xmlns:xlrd2="http://schemas.microsoft.com/office/spreadsheetml/2017/richdata2" ref="A3:P35">
    <sortCondition descending="1" ref="D3:D35"/>
  </sortState>
  <tableColumns count="16">
    <tableColumn id="1" xr3:uid="{D895D251-2E99-413D-A77A-6AF8A6591B41}" name="#" totalsRowDxfId="459"/>
    <tableColumn id="2" xr3:uid="{06782086-D07F-4D46-8DFA-A13B8A3FE783}" name="#_x000a_LW" dataDxfId="458" totalsRowDxfId="457"/>
    <tableColumn id="3" xr3:uid="{9F8C0E6D-3EA4-4C39-81B1-A76DB9669505}" name="Filmas _x000a_(Movie)" totalsRowLabel="Total (33)" dataDxfId="456" totalsRowDxfId="455"/>
    <tableColumn id="4" xr3:uid="{E7B30B35-3661-456A-8155-4BA8B51880EC}" name="Pajamos _x000a_(GBO)" totalsRowFunction="sum" dataDxfId="454" totalsRowDxfId="453"/>
    <tableColumn id="5" xr3:uid="{D7B21BD3-7405-4065-A2B8-9CEEC3877676}" name="Pajamos _x000a_praeita sav._x000a_(GBO LW)" totalsRowLabel="144 402 €" dataDxfId="452" totalsRowDxfId="451"/>
    <tableColumn id="6" xr3:uid="{98349A59-8948-48ED-8967-6616B9763FDE}" name="Pakitimas_x000a_(Change)" totalsRowFunction="custom" dataDxfId="450" totalsRowDxfId="449">
      <calculatedColumnFormula>(D3-E3)/E3</calculatedColumnFormula>
      <totalsRowFormula>(D36-E36)/E36</totalsRowFormula>
    </tableColumn>
    <tableColumn id="7" xr3:uid="{32164161-2C1A-4CF3-8A00-B77D744A895B}" name="Žiūrovų sk. _x000a_(ADM)" totalsRowFunction="sum" dataDxfId="448" totalsRowDxfId="447"/>
    <tableColumn id="8" xr3:uid="{0C04556F-BE83-4B0E-8106-7519FDE5C557}" name="Seansų sk. _x000a_(Show count)" dataDxfId="446" totalsRowDxfId="445"/>
    <tableColumn id="9" xr3:uid="{23C4D406-8B83-49D3-900E-802A46AECD2D}" name="Lankomumo vid._x000a_(Average ADM)" dataDxfId="444" totalsRowDxfId="443">
      <calculatedColumnFormula>G3/H3</calculatedColumnFormula>
    </tableColumn>
    <tableColumn id="10" xr3:uid="{70A8A9A1-A96F-47B6-8761-0082DBBA2BAB}" name="Kopijų sk. _x000a_(DCO count)" dataDxfId="442" totalsRowDxfId="441"/>
    <tableColumn id="11" xr3:uid="{08BF9E28-3532-40A7-AC2E-4E8D287B7CD0}" name="Rodymo savaitė_x000a_(Week on screen)" dataDxfId="440" totalsRowDxfId="439"/>
    <tableColumn id="12" xr3:uid="{5D10B380-AFD0-488E-9FA4-4ED5BC0B3014}" name="Bendros pajamos _x000a_(Total GBO)" dataDxfId="438" totalsRowDxfId="437"/>
    <tableColumn id="13" xr3:uid="{1DD5FA49-7ADE-4B7A-84BC-2577B040BC62}" name="Bendras žiūrovų sk._x000a_(Total ADM)" dataDxfId="436" totalsRowDxfId="435"/>
    <tableColumn id="14" xr3:uid="{C8210773-A67F-4BCB-B4E2-D1340B3C05D8}" name="Premjeros data _x000a_(Release date)" dataDxfId="434" totalsRowDxfId="433"/>
    <tableColumn id="15" xr3:uid="{890D6D6C-C82B-4004-981B-26EE5B4CA83D}" name="Platintojas _x000a_(Distributor)" totalsRowLabel=" " dataDxfId="432" totalsRowDxfId="431"/>
    <tableColumn id="16" xr3:uid="{7412E890-CB89-4AF8-BD9D-5E9B8C9E6D95}" name="Column1" dataDxfId="430" totalsRowDxfId="429"/>
  </tableColumns>
  <tableStyleInfo name="TableStyleLight1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7EA5354-1540-4830-AF73-C1BDE505BD4B}" name="Table1324567891011121314" displayName="Table1324567891011121314" ref="A2:P33" totalsRowCount="1" headerRowDxfId="428" dataDxfId="426" totalsRowDxfId="425" headerRowBorderDxfId="427">
  <sortState xmlns:xlrd2="http://schemas.microsoft.com/office/spreadsheetml/2017/richdata2" ref="A3:P32">
    <sortCondition descending="1" ref="D3:D32"/>
  </sortState>
  <tableColumns count="16">
    <tableColumn id="1" xr3:uid="{38A52721-023A-4C4B-BFF5-C34EEA259206}" name="#" totalsRowDxfId="424"/>
    <tableColumn id="2" xr3:uid="{0C3EA6F2-85E3-4093-A05E-73BC8783FBF0}" name="#_x000a_LW" dataDxfId="423" totalsRowDxfId="422"/>
    <tableColumn id="3" xr3:uid="{B44922BC-9406-44C1-A551-E036DBE62C45}" name="Filmas _x000a_(Movie)" totalsRowLabel="Total (30)" totalsRowDxfId="421"/>
    <tableColumn id="4" xr3:uid="{97FE8A6D-44EB-4996-9514-AB2166C7F856}" name="Pajamos _x000a_(GBO)" totalsRowFunction="sum" dataDxfId="420" totalsRowDxfId="419"/>
    <tableColumn id="5" xr3:uid="{3DBB5D88-2B05-4BF6-87DB-66A093BCE8F9}" name="Pajamos _x000a_praeita sav._x000a_(GBO LW)" totalsRowLabel="123 219 €" dataDxfId="418" totalsRowDxfId="417"/>
    <tableColumn id="6" xr3:uid="{569D908C-4825-48AB-A141-9A48CEDC3AE2}" name="Pakitimas_x000a_(Change)" totalsRowFunction="custom" dataDxfId="416" totalsRowDxfId="415">
      <calculatedColumnFormula>(D3-E3)/E3</calculatedColumnFormula>
      <totalsRowFormula>(D33-E33)/E33</totalsRowFormula>
    </tableColumn>
    <tableColumn id="7" xr3:uid="{D15CDBA2-62E0-4693-8583-9CD8B9FB6F6F}" name="Žiūrovų sk. _x000a_(ADM)" totalsRowFunction="sum" dataDxfId="414" totalsRowDxfId="413"/>
    <tableColumn id="8" xr3:uid="{8D251057-95D8-42C3-AF2D-694BC759579A}" name="Seansų sk. _x000a_(Show count)" dataDxfId="412" totalsRowDxfId="411"/>
    <tableColumn id="9" xr3:uid="{77A92D0E-CC8A-430B-83AB-F8060EA72E5D}" name="Lankomumo vid._x000a_(Average ADM)" dataDxfId="410" totalsRowDxfId="409">
      <calculatedColumnFormula>G3/H3</calculatedColumnFormula>
    </tableColumn>
    <tableColumn id="10" xr3:uid="{B23DE8C3-BB96-4C13-A223-0A6AAFE734FF}" name="Kopijų sk. _x000a_(DCO count)" totalsRowDxfId="408"/>
    <tableColumn id="11" xr3:uid="{062227A7-10A0-4C94-AA42-184046002559}" name="Rodymo savaitė_x000a_(Week on screen)" dataDxfId="407" totalsRowDxfId="406"/>
    <tableColumn id="12" xr3:uid="{A143D0ED-7746-472E-88F1-FD08719F6E78}" name="Bendros pajamos _x000a_(Total GBO)" dataDxfId="405" totalsRowDxfId="404"/>
    <tableColumn id="13" xr3:uid="{A0D66F73-4488-471E-9EC6-B368BE87EA86}" name="Bendras žiūrovų sk._x000a_(Total ADM)" dataDxfId="403" totalsRowDxfId="402"/>
    <tableColumn id="14" xr3:uid="{89D23275-536C-4F46-92D9-52C6C0E2FE48}" name="Premjeros data _x000a_(Release date)" dataDxfId="401" totalsRowDxfId="400"/>
    <tableColumn id="15" xr3:uid="{66C89CF7-15A5-41B2-88C4-3CECAF8C27EE}" name="Platintojas _x000a_(Distributor)" totalsRowLabel=" " dataDxfId="399" totalsRowDxfId="398"/>
    <tableColumn id="16" xr3:uid="{B0BDA2B4-DB8D-45C3-B19B-2714BF666541}" name="Column1" dataDxfId="397" totalsRowDxfId="396"/>
  </tableColumns>
  <tableStyleInfo name="TableStyleLight1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68283606-BE13-40D9-9EE8-4777FA502173}" name="Table13245678910111213" displayName="Table13245678910111213" ref="A2:O33" totalsRowCount="1" headerRowDxfId="395" dataDxfId="393" totalsRowDxfId="392" headerRowBorderDxfId="394">
  <sortState xmlns:xlrd2="http://schemas.microsoft.com/office/spreadsheetml/2017/richdata2" ref="A3:O32">
    <sortCondition descending="1" ref="D3:D32"/>
  </sortState>
  <tableColumns count="15">
    <tableColumn id="1" xr3:uid="{81B17234-4918-4E8C-B04B-9F88882D82DC}" name="#" totalsRowDxfId="391"/>
    <tableColumn id="2" xr3:uid="{DE74EC38-38C9-48FE-8048-8D0AE3993AD1}" name="#_x000a_LW" dataDxfId="390" totalsRowDxfId="389"/>
    <tableColumn id="3" xr3:uid="{997764E6-5EA0-4540-9819-9E3D5AAF5C1C}" name="Filmas _x000a_(Movie)" totalsRowLabel="Total (30)" totalsRowDxfId="388"/>
    <tableColumn id="4" xr3:uid="{DBE3331F-B144-483C-981D-D5BEC66E6342}" name="Pajamos _x000a_(GBO)" totalsRowFunction="sum" dataDxfId="387" totalsRowDxfId="386"/>
    <tableColumn id="5" xr3:uid="{627AC9B7-6207-4995-B3D5-3787F420AFC6}" name="Pajamos _x000a_praeita sav._x000a_(GBO LW)" totalsRowLabel="168 263 €" dataDxfId="385" totalsRowDxfId="384"/>
    <tableColumn id="6" xr3:uid="{5C6A2691-5C1A-4B49-B0B4-52747DFDE53F}" name="Pakitimas_x000a_(Change)" totalsRowFunction="custom" dataDxfId="383" totalsRowDxfId="382">
      <calculatedColumnFormula>(D3-E3)/E3</calculatedColumnFormula>
      <totalsRowFormula>(D33-E33)/E33</totalsRowFormula>
    </tableColumn>
    <tableColumn id="7" xr3:uid="{4F46FBB7-50D6-4908-9611-69A5721E7A93}" name="Žiūrovų sk. _x000a_(ADM)" totalsRowFunction="sum" dataDxfId="381" totalsRowDxfId="380"/>
    <tableColumn id="8" xr3:uid="{86F2877A-2DBC-43A5-973F-C57F7788C4BC}" name="Seansų sk. _x000a_(Show count)" dataDxfId="379" totalsRowDxfId="378"/>
    <tableColumn id="9" xr3:uid="{00CD8D03-F412-492A-8BA2-C23FE59E16AF}" name="Lankomumo vid._x000a_(Average ADM)" dataDxfId="377" totalsRowDxfId="376">
      <calculatedColumnFormula>G3/H3</calculatedColumnFormula>
    </tableColumn>
    <tableColumn id="10" xr3:uid="{62B2FC37-2F3D-4C7A-955D-A0D2A87670F0}" name="Kopijų sk. _x000a_(DCO count)" totalsRowDxfId="375"/>
    <tableColumn id="11" xr3:uid="{49CF624D-292E-4802-9DFC-7B275D889033}" name="Rodymo savaitė_x000a_(Week on screen)" dataDxfId="374" totalsRowDxfId="373"/>
    <tableColumn id="12" xr3:uid="{BD9AA0F4-6882-4109-8B9E-3921FA2F4DA9}" name="Bendros pajamos _x000a_(Total GBO)" dataDxfId="372" totalsRowDxfId="371"/>
    <tableColumn id="13" xr3:uid="{C05FB135-C4FB-4814-BA63-D783D14D5332}" name="Bendras žiūrovų sk._x000a_(Total ADM)" dataDxfId="370" totalsRowDxfId="369"/>
    <tableColumn id="14" xr3:uid="{D4764E94-0759-45B5-9404-BCF2EBE4701A}" name="Premjeros data _x000a_(Release date)" dataDxfId="368" totalsRowDxfId="367"/>
    <tableColumn id="15" xr3:uid="{CA9FE267-4B09-46EC-827D-ECB8BCCE6E47}" name="Platintojas _x000a_(Distributor)" totalsRowLabel=" " dataDxfId="366" totalsRowDxfId="365"/>
  </tableColumns>
  <tableStyleInfo name="TableStyleLight1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BF909B8D-D572-4105-83D4-BD4342443BB4}" name="Table132456789101112" displayName="Table132456789101112" ref="A2:O38" totalsRowCount="1" headerRowDxfId="364" dataDxfId="362" totalsRowDxfId="361" headerRowBorderDxfId="363">
  <sortState xmlns:xlrd2="http://schemas.microsoft.com/office/spreadsheetml/2017/richdata2" ref="A3:O37">
    <sortCondition descending="1" ref="D3:D37"/>
  </sortState>
  <tableColumns count="15">
    <tableColumn id="1" xr3:uid="{0BF2F22E-26A3-4437-A8BF-E803F9F1CE91}" name="#" totalsRowDxfId="360"/>
    <tableColumn id="2" xr3:uid="{14D2AACF-9BC2-4157-873D-B5284EF1C792}" name="#_x000a_LW" dataDxfId="359" totalsRowDxfId="358"/>
    <tableColumn id="3" xr3:uid="{BF9003D3-67B0-48DE-9201-71D04601EEE7}" name="Filmas _x000a_(Movie)" totalsRowLabel="Total (35)" totalsRowDxfId="357"/>
    <tableColumn id="4" xr3:uid="{E5F50B40-5B7E-4EE3-881E-534569F7055D}" name="Pajamos _x000a_(GBO)" totalsRowFunction="sum" dataDxfId="356" totalsRowDxfId="355"/>
    <tableColumn id="5" xr3:uid="{6BBE7F7F-24F5-4C66-B1CC-DF0A7505F707}" name="Pajamos _x000a_praeita sav._x000a_(GBO LW)" totalsRowLabel="101 857 €" dataDxfId="354" totalsRowDxfId="353"/>
    <tableColumn id="6" xr3:uid="{A0D50D6A-61F2-4FB1-934F-1F296CE281C6}" name="Pakitimas_x000a_(Change)" totalsRowFunction="custom" dataDxfId="352" totalsRowDxfId="351">
      <calculatedColumnFormula>(D3-E3)/E3</calculatedColumnFormula>
      <totalsRowFormula>(D38-E38)/E38</totalsRowFormula>
    </tableColumn>
    <tableColumn id="7" xr3:uid="{91C90DDE-6236-46CA-A5A1-9A58BFBD4257}" name="Žiūrovų sk. _x000a_(ADM)" totalsRowFunction="sum" dataDxfId="350" totalsRowDxfId="349"/>
    <tableColumn id="8" xr3:uid="{7A725F77-7E3C-4D87-BCD1-3E045E19C894}" name="Seansų sk. _x000a_(Show count)" dataDxfId="348" totalsRowDxfId="347"/>
    <tableColumn id="9" xr3:uid="{5CF0C9C3-1EE7-4862-B0EE-68AD8EE9D6E5}" name="Lankomumo vid._x000a_(Average ADM)" dataDxfId="346" totalsRowDxfId="345">
      <calculatedColumnFormula>G3/H3</calculatedColumnFormula>
    </tableColumn>
    <tableColumn id="10" xr3:uid="{80F31CF2-5877-494E-A1D8-75F79F03F911}" name="Kopijų sk. _x000a_(DCO count)" totalsRowDxfId="344"/>
    <tableColumn id="11" xr3:uid="{667A0883-E1CA-4B23-8BF0-0FB04B67C0C0}" name="Rodymo savaitė_x000a_(Week on screen)" dataDxfId="343" totalsRowDxfId="342"/>
    <tableColumn id="12" xr3:uid="{C98D50B6-705D-437F-9C17-D813875C1266}" name="Bendros pajamos _x000a_(Total GBO)" dataDxfId="341" totalsRowDxfId="340"/>
    <tableColumn id="13" xr3:uid="{541F375E-E149-4FB2-94EF-8E7E108084D7}" name="Bendras žiūrovų sk._x000a_(Total ADM)" dataDxfId="339" totalsRowDxfId="338"/>
    <tableColumn id="14" xr3:uid="{91511F1F-2D8C-4D78-99F4-193A6DF4CADF}" name="Premjeros data _x000a_(Release date)" dataDxfId="337" totalsRowDxfId="336"/>
    <tableColumn id="15" xr3:uid="{D87D31ED-30C9-4153-8F7F-59AB3678A2A6}" name="Platintojas _x000a_(Distributor)" totalsRowLabel=" " dataDxfId="335" totalsRowDxfId="334"/>
  </tableColumns>
  <tableStyleInfo name="TableStyleLight1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11E336B-243C-45ED-B902-3F1E4D732893}" name="Table1324567891011" displayName="Table1324567891011" ref="A2:O39" totalsRowCount="1" headerRowDxfId="333" dataDxfId="331" totalsRowDxfId="330" headerRowBorderDxfId="332">
  <sortState xmlns:xlrd2="http://schemas.microsoft.com/office/spreadsheetml/2017/richdata2" ref="A3:O38">
    <sortCondition descending="1" ref="D3:D38"/>
  </sortState>
  <tableColumns count="15">
    <tableColumn id="1" xr3:uid="{294DAE3C-EFD4-43B7-A375-F21BF7AEF28D}" name="#" totalsRowDxfId="329"/>
    <tableColumn id="2" xr3:uid="{D0FA9670-B8E2-461D-886B-34461614F822}" name="#_x000a_LW" dataDxfId="328" totalsRowDxfId="327"/>
    <tableColumn id="3" xr3:uid="{ED1DCC0E-8E33-40C0-A249-8F2819578E6B}" name="Filmas _x000a_(Movie)" totalsRowLabel="Total (36)" totalsRowDxfId="326"/>
    <tableColumn id="4" xr3:uid="{2DA4428C-74F6-4342-9898-6E203734A72B}" name="Pajamos _x000a_(GBO)" totalsRowFunction="sum" dataDxfId="325" totalsRowDxfId="324"/>
    <tableColumn id="5" xr3:uid="{6E513ED3-9AC8-4384-9A4A-2C1A79B3C0B5}" name="Pajamos _x000a_praeita sav._x000a_(GBO LW)" totalsRowLabel="212 746 €" dataDxfId="323" totalsRowDxfId="322"/>
    <tableColumn id="6" xr3:uid="{118DE34F-0D3C-47A6-82F8-C8195D6E07AB}" name="Pakitimas_x000a_(Change)" totalsRowFunction="custom" dataDxfId="321" totalsRowDxfId="320">
      <calculatedColumnFormula>(D3-E3)/E3</calculatedColumnFormula>
      <totalsRowFormula>(D39-E39)/E39</totalsRowFormula>
    </tableColumn>
    <tableColumn id="7" xr3:uid="{4527A65F-64F0-4582-8CEA-D405FE2BFC5D}" name="Žiūrovų sk. _x000a_(ADM)" totalsRowFunction="sum" dataDxfId="319" totalsRowDxfId="318"/>
    <tableColumn id="8" xr3:uid="{CE3D587F-BC8F-469D-8496-71530BFCCE10}" name="Seansų sk. _x000a_(Show count)" dataDxfId="317" totalsRowDxfId="316"/>
    <tableColumn id="9" xr3:uid="{49E63278-7B8D-4C8F-A5D1-0C6B6938B506}" name="Lankomumo vid._x000a_(Average ADM)" dataDxfId="315" totalsRowDxfId="314">
      <calculatedColumnFormula>G3/H3</calculatedColumnFormula>
    </tableColumn>
    <tableColumn id="10" xr3:uid="{15DC8825-1C66-40AE-953E-C6FEB7B88F4E}" name="Kopijų sk. _x000a_(DCO count)" totalsRowDxfId="313"/>
    <tableColumn id="11" xr3:uid="{A69BE51E-BFEB-47C2-ABDD-23E8D7D02705}" name="Rodymo savaitė_x000a_(Week on screen)" dataDxfId="312" totalsRowDxfId="311"/>
    <tableColumn id="12" xr3:uid="{CD4E27FB-9E73-47F3-B21E-CC95D2409833}" name="Bendros pajamos _x000a_(Total GBO)" dataDxfId="310" totalsRowDxfId="309"/>
    <tableColumn id="13" xr3:uid="{EDAF46D7-B64B-413D-ACD0-17A1A6165069}" name="Bendras žiūrovų sk._x000a_(Total ADM)" dataDxfId="308" totalsRowDxfId="307"/>
    <tableColumn id="14" xr3:uid="{ACCD092C-0F9E-4033-9E28-96998E6BC56F}" name="Premjeros data _x000a_(Release date)" dataDxfId="306" totalsRowDxfId="305"/>
    <tableColumn id="15" xr3:uid="{8F853A95-2372-4680-AA29-E2DE3A0894DA}" name="Platintojas _x000a_(Distributor)" totalsRowLabel=" " dataDxfId="304" totalsRowDxfId="303"/>
  </tableColumns>
  <tableStyleInfo name="TableStyleLight1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CB8FA188-2C2F-417C-BF26-ED146CF4D2E8}" name="Table13245678910" displayName="Table13245678910" ref="A2:O42" totalsRowCount="1" headerRowDxfId="302" dataDxfId="300" totalsRowDxfId="299" headerRowBorderDxfId="301">
  <sortState xmlns:xlrd2="http://schemas.microsoft.com/office/spreadsheetml/2017/richdata2" ref="A3:O41">
    <sortCondition descending="1" ref="D3:D41"/>
  </sortState>
  <tableColumns count="15">
    <tableColumn id="1" xr3:uid="{58BDF024-A88A-49A1-979A-F65A74A45CBE}" name="#" totalsRowDxfId="298"/>
    <tableColumn id="2" xr3:uid="{DCA8D9C8-70DF-4CF4-884A-C2153E6ACD67}" name="#_x000a_LW" dataDxfId="297" totalsRowDxfId="296"/>
    <tableColumn id="3" xr3:uid="{482F0165-1597-4F76-83A9-CCBFB1AD7EDE}" name="Filmas _x000a_(Movie)" totalsRowLabel="Total (39)" totalsRowDxfId="295"/>
    <tableColumn id="4" xr3:uid="{335E4CCF-07B2-4B92-BC01-A5B9059224FD}" name="Pajamos _x000a_(GBO)" totalsRowFunction="sum" dataDxfId="294" totalsRowDxfId="293"/>
    <tableColumn id="5" xr3:uid="{EEAACFC6-64FD-4C95-B24A-3A66354D6052}" name="Pajamos _x000a_praeita sav._x000a_(GBO LW)" totalsRowLabel="152 744 €" dataDxfId="292" totalsRowDxfId="291"/>
    <tableColumn id="6" xr3:uid="{12658652-1B97-4ABD-A74C-198F3C574EA4}" name="Pakitimas_x000a_(Change)" totalsRowFunction="custom" dataDxfId="290" totalsRowDxfId="289">
      <calculatedColumnFormula>(D3-E3)/E3</calculatedColumnFormula>
      <totalsRowFormula>(D42-E42)/E42</totalsRowFormula>
    </tableColumn>
    <tableColumn id="7" xr3:uid="{3CAC1ED7-73A6-4CFE-9F87-B2ADA3FAB5D7}" name="Žiūrovų sk. _x000a_(ADM)" totalsRowFunction="sum" dataDxfId="288" totalsRowDxfId="287"/>
    <tableColumn id="8" xr3:uid="{9E55C145-74E4-4BFF-954C-5956B9153DDA}" name="Seansų sk. _x000a_(Show count)" dataDxfId="286" totalsRowDxfId="285"/>
    <tableColumn id="9" xr3:uid="{5D4047AA-79A3-4D57-B9D4-FBCE9E1865C4}" name="Lankomumo vid._x000a_(Average ADM)" dataDxfId="284" totalsRowDxfId="283">
      <calculatedColumnFormula>G3/H3</calculatedColumnFormula>
    </tableColumn>
    <tableColumn id="10" xr3:uid="{6191BBE4-2E7C-4ADA-BBBE-47287ED657F8}" name="Kopijų sk. _x000a_(DCO count)" totalsRowDxfId="282"/>
    <tableColumn id="11" xr3:uid="{24078C2D-8610-46E6-9DDF-FE95F565E3E3}" name="Rodymo savaitė_x000a_(Week on screen)" dataDxfId="281" totalsRowDxfId="280"/>
    <tableColumn id="12" xr3:uid="{E231F4D0-EF7A-49BE-9273-9FC67F690FFE}" name="Bendros pajamos _x000a_(Total GBO)" dataDxfId="279" totalsRowDxfId="278"/>
    <tableColumn id="13" xr3:uid="{AA9DC5AF-FB0D-46CF-9960-A0E3A9F8B3D9}" name="Bendras žiūrovų sk._x000a_(Total ADM)" dataDxfId="277" totalsRowDxfId="276"/>
    <tableColumn id="14" xr3:uid="{1620D8A1-0075-4B14-AA29-FECBA5CCD1E0}" name="Premjeros data _x000a_(Release date)" dataDxfId="275" totalsRowDxfId="274"/>
    <tableColumn id="15" xr3:uid="{D5361BF3-7715-4511-84DD-829088C6E1A5}" name="Platintojas _x000a_(Distributor)" totalsRowLabel=" " dataDxfId="273" totalsRowDxfId="272"/>
  </tableColumns>
  <tableStyleInfo name="TableStyleLight1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D991B14-FE3E-4328-B172-6F9F8B6F0FCA}" name="Table132456789" displayName="Table132456789" ref="A2:O34" totalsRowCount="1" headerRowDxfId="271" dataDxfId="269" totalsRowDxfId="268" headerRowBorderDxfId="270">
  <sortState xmlns:xlrd2="http://schemas.microsoft.com/office/spreadsheetml/2017/richdata2" ref="A3:O33">
    <sortCondition descending="1" ref="D3:D33"/>
  </sortState>
  <tableColumns count="15">
    <tableColumn id="1" xr3:uid="{723E18B3-F092-46BB-ABE0-D0F8C6B49104}" name="#" totalsRowDxfId="267"/>
    <tableColumn id="2" xr3:uid="{8CD47163-5AB9-4B8F-A7A7-EADC54744043}" name="#_x000a_LW" dataDxfId="266" totalsRowDxfId="265"/>
    <tableColumn id="3" xr3:uid="{2D9CCAB4-D678-4FFD-AE78-7353C9426F09}" name="Filmas _x000a_(Movie)" totalsRowLabel="Total (31)" totalsRowDxfId="264"/>
    <tableColumn id="4" xr3:uid="{1F560064-613A-4460-9D8D-0C90DE7A31F2}" name="Pajamos _x000a_(GBO)" totalsRowFunction="sum" dataDxfId="263" totalsRowDxfId="262"/>
    <tableColumn id="5" xr3:uid="{DFE29E07-6B3B-473C-B630-85179CB2104B}" name="Pajamos _x000a_praeita sav._x000a_(GBO LW)" totalsRowLabel="180 026 €" dataDxfId="261" totalsRowDxfId="260"/>
    <tableColumn id="6" xr3:uid="{D593DA64-68EC-4729-9B73-3E3F96FCAFA9}" name="Pakitimas_x000a_(Change)" totalsRowFunction="custom" totalsRowDxfId="259">
      <calculatedColumnFormula>(D3-E3)/E3</calculatedColumnFormula>
      <totalsRowFormula>(D34-E34)/E34</totalsRowFormula>
    </tableColumn>
    <tableColumn id="7" xr3:uid="{AEBC1DD2-7577-439C-81DB-2550E4658F62}" name="Žiūrovų sk. _x000a_(ADM)" totalsRowFunction="sum" totalsRowDxfId="258"/>
    <tableColumn id="8" xr3:uid="{FDCE578C-4327-4918-94D1-75EAD739C95A}" name="Seansų sk. _x000a_(Show count)" dataDxfId="257" totalsRowDxfId="256"/>
    <tableColumn id="9" xr3:uid="{3971CD24-4497-45A9-81E5-77498DEF9DD6}" name="Lankomumo vid._x000a_(Average ADM)" dataDxfId="255" totalsRowDxfId="254">
      <calculatedColumnFormula>G3/H3</calculatedColumnFormula>
    </tableColumn>
    <tableColumn id="10" xr3:uid="{7CB74BBB-11CF-47CE-811F-EC48F5A1E16C}" name="Kopijų sk. _x000a_(DCO count)" totalsRowDxfId="253"/>
    <tableColumn id="11" xr3:uid="{C64E4C9E-D0FF-4C24-919F-D731D08E9BED}" name="Rodymo savaitė_x000a_(Week on screen)" dataDxfId="252" totalsRowDxfId="251"/>
    <tableColumn id="12" xr3:uid="{BE9FB436-5478-4394-82CD-84C073D379A1}" name="Bendros pajamos _x000a_(Total GBO)" dataDxfId="250" totalsRowDxfId="249"/>
    <tableColumn id="13" xr3:uid="{5F1A75BA-329E-4AFE-A5D0-4687E45C2CBB}" name="Bendras žiūrovų sk._x000a_(Total ADM)" dataDxfId="248" totalsRowDxfId="247"/>
    <tableColumn id="14" xr3:uid="{29847266-8221-4F48-96F0-D9C13DADABDB}" name="Premjeros data _x000a_(Release date)" dataDxfId="246" totalsRowDxfId="245"/>
    <tableColumn id="15" xr3:uid="{070CDBB3-9AE5-4C90-B0C2-830FEAD269A8}" name="Platintojas _x000a_(Distributor)" totalsRowLabel=" " totalsRowDxfId="244"/>
  </tableColumns>
  <tableStyleInfo name="TableStyleLight1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FC7BD0B-5E75-4B66-B8B9-617B84C778B0}" name="Table13245678" displayName="Table13245678" ref="A2:O41" totalsRowCount="1" headerRowDxfId="243" dataDxfId="241" totalsRowDxfId="240" headerRowBorderDxfId="242">
  <autoFilter ref="A2:O40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40">
    <sortCondition descending="1" ref="D3:D40"/>
  </sortState>
  <tableColumns count="15">
    <tableColumn id="1" xr3:uid="{04C8507F-A5DC-4808-BD18-D5936AE6BE91}" name="#" totalsRowDxfId="239"/>
    <tableColumn id="2" xr3:uid="{46018666-2C30-44C1-93DA-D0F485C40449}" name="#_x000a_LW" dataDxfId="238" totalsRowDxfId="237"/>
    <tableColumn id="3" xr3:uid="{1DA1B5A4-861E-4AD6-BEA2-087597B18610}" name="Filmas _x000a_(Movie)" totalsRowLabel="Total (38)" totalsRowDxfId="236"/>
    <tableColumn id="4" xr3:uid="{36FC9848-7C10-49D9-BA6C-F636CDE6135E}" name="Pajamos _x000a_(GBO)" totalsRowFunction="sum" dataDxfId="235" totalsRowDxfId="234"/>
    <tableColumn id="5" xr3:uid="{01FB0868-B4A8-4FB8-8854-BFBA9DC2F621}" name="Pajamos _x000a_praeita sav._x000a_(GBO LW)" totalsRowLabel="124 394 €" dataDxfId="233" totalsRowDxfId="232"/>
    <tableColumn id="6" xr3:uid="{E52030D3-74E1-4BC5-807C-D99E1F64E249}" name="Pakitimas_x000a_(Change)" totalsRowFunction="custom" totalsRowDxfId="231">
      <calculatedColumnFormula>(D3-E3)/E3</calculatedColumnFormula>
      <totalsRowFormula>(D41-E41)/E41</totalsRowFormula>
    </tableColumn>
    <tableColumn id="7" xr3:uid="{FA7E72FB-E5E3-403E-B828-8BE3AEE64F41}" name="Žiūrovų sk. _x000a_(ADM)" totalsRowFunction="sum" totalsRowDxfId="230"/>
    <tableColumn id="8" xr3:uid="{DE1E8A5A-3BC0-4BA5-8477-2E6B87CBDF4A}" name="Seansų sk. _x000a_(Show count)" dataDxfId="229" totalsRowDxfId="228"/>
    <tableColumn id="9" xr3:uid="{9015178C-1E16-4E05-97FD-B3364671BF00}" name="Lankomumo vid._x000a_(Average ADM)" dataDxfId="227" totalsRowDxfId="226">
      <calculatedColumnFormula>G3/H3</calculatedColumnFormula>
    </tableColumn>
    <tableColumn id="10" xr3:uid="{13B1D7FC-0475-472B-8C95-518CE52C5225}" name="Kopijų sk. _x000a_(DCO count)" totalsRowDxfId="225"/>
    <tableColumn id="11" xr3:uid="{8F906F40-DBFC-4638-95F8-0A5B1BB6B374}" name="Rodymo savaitė_x000a_(Week on screen)" dataDxfId="224" totalsRowDxfId="223"/>
    <tableColumn id="12" xr3:uid="{217F8B31-ADDA-4092-9262-B4B70611F26A}" name="Bendros pajamos _x000a_(Total GBO)" dataDxfId="222" totalsRowDxfId="221"/>
    <tableColumn id="13" xr3:uid="{F04EA99F-4795-4D46-B499-C529E844711A}" name="Bendras žiūrovų sk._x000a_(Total ADM)" dataDxfId="220" totalsRowDxfId="219"/>
    <tableColumn id="14" xr3:uid="{4C971159-FE76-4E3C-9305-8CECBC7AC426}" name="Premjeros data _x000a_(Release date)" dataDxfId="218" totalsRowDxfId="217"/>
    <tableColumn id="15" xr3:uid="{B1F4E0A5-751D-4B2D-8664-B0B1439521DC}" name="Platintojas _x000a_(Distributor)" totalsRowLabel=" " totalsRowDxfId="216"/>
  </tableColumns>
  <tableStyleInfo name="TableStyleLight1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4759594-C573-4BFE-8F15-97DD1B1A33E4}" name="Table1324567" displayName="Table1324567" ref="A2:O39" totalsRowCount="1" headerRowDxfId="215" dataDxfId="213" totalsRowDxfId="212" headerRowBorderDxfId="214">
  <autoFilter ref="A2:O38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8">
    <sortCondition descending="1" ref="D3:D38"/>
  </sortState>
  <tableColumns count="15">
    <tableColumn id="1" xr3:uid="{563358D4-3D4B-4B04-89EC-7E86579D329E}" name="#" totalsRowDxfId="211"/>
    <tableColumn id="2" xr3:uid="{9CE864AA-BB3E-4971-9A81-BFD1FEFF572D}" name="#_x000a_LW" dataDxfId="210" totalsRowDxfId="209"/>
    <tableColumn id="3" xr3:uid="{F82DB37D-473E-4C01-8114-734AECFDE125}" name="Filmas _x000a_(Movie)" totalsRowLabel="Total (36)" totalsRowDxfId="208"/>
    <tableColumn id="4" xr3:uid="{0895A7A9-B0E7-4E5F-834D-D05B87D2673C}" name="Pajamos _x000a_(GBO)" totalsRowFunction="sum" dataDxfId="207" totalsRowDxfId="206"/>
    <tableColumn id="5" xr3:uid="{CECB85F7-0124-4A1E-BD52-E7EFEBC5FAC8}" name="Pajamos _x000a_praeita sav._x000a_(GBO LW)" totalsRowLabel="167 786 €" dataDxfId="205" totalsRowDxfId="204"/>
    <tableColumn id="6" xr3:uid="{F954754E-41BA-4A23-A4A3-726D9ABB2376}" name="Pakitimas_x000a_(Change)" totalsRowFunction="custom" totalsRowDxfId="203">
      <calculatedColumnFormula>(D3-E3)/E3</calculatedColumnFormula>
      <totalsRowFormula>(D39-E39)/E39</totalsRowFormula>
    </tableColumn>
    <tableColumn id="7" xr3:uid="{51DE4674-1059-4973-A314-5E2955AE2119}" name="Žiūrovų sk. _x000a_(ADM)" totalsRowFunction="sum" totalsRowDxfId="202"/>
    <tableColumn id="8" xr3:uid="{B17D442E-62CD-4E63-9CF1-55072269FBCA}" name="Seansų sk. _x000a_(Show count)" dataDxfId="201" totalsRowDxfId="200"/>
    <tableColumn id="9" xr3:uid="{C59456D2-7CD0-41B5-A88C-5CCFCBC52468}" name="Lankomumo vid._x000a_(Average ADM)" dataDxfId="199" totalsRowDxfId="198">
      <calculatedColumnFormula>G3/H3</calculatedColumnFormula>
    </tableColumn>
    <tableColumn id="10" xr3:uid="{8085646D-9275-4C29-B647-B260C18E8B5C}" name="Kopijų sk. _x000a_(DCO count)" totalsRowDxfId="197"/>
    <tableColumn id="11" xr3:uid="{7E888F22-0D96-4628-99E7-CF9E0E877827}" name="Rodymo savaitė_x000a_(Week on screen)" dataDxfId="196" totalsRowDxfId="195"/>
    <tableColumn id="12" xr3:uid="{3799F0D2-F5B0-42AB-BC4E-FF1E7EF31E30}" name="Bendros pajamos _x000a_(Total GBO)" dataDxfId="194" totalsRowDxfId="193"/>
    <tableColumn id="13" xr3:uid="{376CB82B-7F9D-4F36-94D6-29E5B62FD5FB}" name="Bendras žiūrovų sk._x000a_(Total ADM)" dataDxfId="192" totalsRowDxfId="191"/>
    <tableColumn id="14" xr3:uid="{01A2F5F3-FA4A-4565-92EE-936326735BAF}" name="Premjeros data _x000a_(Release date)" dataDxfId="190" totalsRowDxfId="189"/>
    <tableColumn id="15" xr3:uid="{7A21C5FD-2F59-4A8B-97C3-1A96D446C50B}" name="Platintojas _x000a_(Distributor)" totalsRowLabel=" " totalsRowDxfId="188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A1C58124-623E-40F9-8BA2-664913B8CD40}" name="Table132456789101112131415171618192021222324" displayName="Table132456789101112131415171618192021222324" ref="A2:P32" totalsRowCount="1" headerRowDxfId="747" dataDxfId="745" totalsRowDxfId="744" headerRowBorderDxfId="746">
  <sortState xmlns:xlrd2="http://schemas.microsoft.com/office/spreadsheetml/2017/richdata2" ref="A3:P31">
    <sortCondition descending="1" ref="D3:D31"/>
  </sortState>
  <tableColumns count="16">
    <tableColumn id="1" xr3:uid="{4A81BFDE-A3D8-4927-ACA0-5816FD5E2D11}" name="#" totalsRowDxfId="50"/>
    <tableColumn id="2" xr3:uid="{216CF4A3-0B3D-4475-9C9F-24D3AE72E7E3}" name="#_x000a_LW" dataDxfId="65" totalsRowDxfId="49"/>
    <tableColumn id="3" xr3:uid="{155BF77A-A040-44E6-B7F9-37367EBD1048}" name="Filmas _x000a_(Movie)" totalsRowLabel="Total (29)" dataDxfId="64" totalsRowDxfId="48"/>
    <tableColumn id="4" xr3:uid="{775EB374-3686-4C1B-8F1B-D846BA5AE2B5}" name="Pajamos _x000a_(GBO)" totalsRowFunction="sum" dataDxfId="63" totalsRowDxfId="47"/>
    <tableColumn id="5" xr3:uid="{5E32E203-8301-4674-A8CD-832CD83E1772}" name="Pajamos _x000a_praeita sav._x000a_(GBO LW)" totalsRowLabel="179 899 €" dataDxfId="62" totalsRowDxfId="46"/>
    <tableColumn id="6" xr3:uid="{4EEFD558-F0A8-4ED7-881B-B20D13787A79}" name="Pakitimas_x000a_(Change)" totalsRowFunction="custom" dataDxfId="61" totalsRowDxfId="45">
      <calculatedColumnFormula>(D3-E3)/E3</calculatedColumnFormula>
      <totalsRowFormula>(D32-E32)/E32</totalsRowFormula>
    </tableColumn>
    <tableColumn id="7" xr3:uid="{6BE61978-CD13-495A-8F18-5CA304042D94}" name="Žiūrovų sk. _x000a_(ADM)" totalsRowFunction="sum" dataDxfId="60" totalsRowDxfId="44"/>
    <tableColumn id="8" xr3:uid="{E38F1334-B3FA-4DD1-88A0-AE0599FFBA1F}" name="Seansų sk. _x000a_(Show count)" dataDxfId="59" totalsRowDxfId="43"/>
    <tableColumn id="9" xr3:uid="{8ECDA17E-B724-4559-A26C-58E7FCF93711}" name="Lankomumo vid._x000a_(Average ADM)" dataDxfId="58" totalsRowDxfId="42">
      <calculatedColumnFormula>G3/H3</calculatedColumnFormula>
    </tableColumn>
    <tableColumn id="10" xr3:uid="{CA078F5E-1600-4AB4-9357-D3C41ACFAB78}" name="Kopijų sk. _x000a_(DCO count)" dataDxfId="57" totalsRowDxfId="41"/>
    <tableColumn id="11" xr3:uid="{EE47820D-DB5B-49C6-AB4C-EAF02134C4A8}" name="Rodymo savaitė_x000a_(Week on screen)" dataDxfId="56" totalsRowDxfId="40"/>
    <tableColumn id="12" xr3:uid="{BF564ED4-7E9C-4CC7-91F4-8EB9B759EB8B}" name="Bendros pajamos _x000a_(Total GBO)" dataDxfId="55" totalsRowDxfId="39"/>
    <tableColumn id="13" xr3:uid="{C87B9AFF-7C8A-4DD6-B5E4-67B8E5785AAA}" name="Bendras žiūrovų sk._x000a_(Total ADM)" dataDxfId="54" totalsRowDxfId="38"/>
    <tableColumn id="14" xr3:uid="{EBB2FEC0-8A97-452E-93A7-6AA88EE3A99A}" name="Premjeros data _x000a_(Release date)" dataDxfId="53" totalsRowDxfId="37"/>
    <tableColumn id="15" xr3:uid="{7450C830-5200-4C9D-B7F2-3E0D6AF69F4F}" name="Platintojas _x000a_(Distributor)" totalsRowLabel=" " dataDxfId="52" totalsRowDxfId="36"/>
    <tableColumn id="16" xr3:uid="{3D35FEE9-0E14-4418-A8AB-7CD661909C70}" name="Column1" dataDxfId="51" totalsRowDxfId="35"/>
  </tableColumns>
  <tableStyleInfo name="TableStyleLight1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DDAD505-8742-4861-96A5-718EF141B6EF}" name="Table132456" displayName="Table132456" ref="A2:O35" totalsRowCount="1" headerRowDxfId="187" dataDxfId="185" totalsRowDxfId="184" headerRowBorderDxfId="186">
  <autoFilter ref="A2:O34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4">
    <sortCondition descending="1" ref="D3:D34"/>
  </sortState>
  <tableColumns count="15">
    <tableColumn id="1" xr3:uid="{E084DB70-EFDC-434F-9797-588D5ACE7E61}" name="#" totalsRowDxfId="183"/>
    <tableColumn id="2" xr3:uid="{562D5AF0-46EC-4BEC-8F4F-0354E2174B51}" name="#_x000a_LW" dataDxfId="182" totalsRowDxfId="181"/>
    <tableColumn id="3" xr3:uid="{7A72A520-5CF6-4E66-AA03-ED9844C92A34}" name="Filmas _x000a_(Movie)" totalsRowLabel="Total (32)" totalsRowDxfId="180"/>
    <tableColumn id="4" xr3:uid="{D08735A2-1376-492B-917A-41C7D193604D}" name="Pajamos _x000a_(GBO)" totalsRowFunction="sum" totalsRowDxfId="179"/>
    <tableColumn id="5" xr3:uid="{8C112F64-75B6-4E46-9E4C-35AFB843EE61}" name="Pajamos _x000a_praeita sav._x000a_(GBO LW)" totalsRowLabel="96 330 €" dataDxfId="178" totalsRowDxfId="177"/>
    <tableColumn id="6" xr3:uid="{3E451D78-BA4E-4558-8A8B-148FA2CC8173}" name="Pakitimas_x000a_(Change)" totalsRowFunction="custom" totalsRowDxfId="176">
      <calculatedColumnFormula>(D3-E3)/E3</calculatedColumnFormula>
      <totalsRowFormula>(D35-E35)/E35</totalsRowFormula>
    </tableColumn>
    <tableColumn id="7" xr3:uid="{44628383-BC0D-4749-A136-F7E6581308CE}" name="Žiūrovų sk. _x000a_(ADM)" totalsRowFunction="sum" totalsRowDxfId="175"/>
    <tableColumn id="8" xr3:uid="{99F7C832-8AF3-46F1-9EC0-1B17D3FD6A00}" name="Seansų sk. _x000a_(Show count)" dataDxfId="174" totalsRowDxfId="173"/>
    <tableColumn id="9" xr3:uid="{FD873349-443F-42AD-AEE6-C6D06A56DAAB}" name="Lankomumo vid._x000a_(Average ADM)" totalsRowDxfId="172">
      <calculatedColumnFormula>G3/H3</calculatedColumnFormula>
    </tableColumn>
    <tableColumn id="10" xr3:uid="{3E78AAAA-D437-42A0-9C8D-EA8327E27C45}" name="Kopijų sk. _x000a_(DCO count)" totalsRowDxfId="171"/>
    <tableColumn id="11" xr3:uid="{63D59EFA-CC88-4354-98E5-C68510984283}" name="Rodymo savaitė_x000a_(Week on screen)" dataDxfId="170" totalsRowDxfId="169"/>
    <tableColumn id="12" xr3:uid="{A95235DF-E928-4870-8692-92E0A00F4B3B}" name="Bendros pajamos _x000a_(Total GBO)" dataDxfId="168" totalsRowDxfId="167"/>
    <tableColumn id="13" xr3:uid="{2819B302-37F1-49F2-9293-9C1AF6C5E148}" name="Bendras žiūrovų sk._x000a_(Total ADM)" dataDxfId="166" totalsRowDxfId="165"/>
    <tableColumn id="14" xr3:uid="{786030B6-6725-4BB8-B532-D5A516730CB2}" name="Premjeros data _x000a_(Release date)" dataDxfId="164" totalsRowDxfId="163"/>
    <tableColumn id="15" xr3:uid="{7D3CD0C2-8A61-426B-8C88-C1B56304979A}" name="Platintojas _x000a_(Distributor)" totalsRowLabel=" " totalsRowDxfId="162"/>
  </tableColumns>
  <tableStyleInfo name="TableStyleLight1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133B4FF-EC6F-4F7F-A990-DFFD826E41C3}" name="Table13245" displayName="Table13245" ref="A2:O35" totalsRowCount="1" headerRowDxfId="161" dataDxfId="159" totalsRowDxfId="158" headerRowBorderDxfId="160">
  <autoFilter ref="A2:O34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4">
    <sortCondition descending="1" ref="D3:D34"/>
  </sortState>
  <tableColumns count="15">
    <tableColumn id="1" xr3:uid="{0633DC87-B2A8-4BC8-B7AF-6E72C7045B5D}" name="#" totalsRowDxfId="157"/>
    <tableColumn id="2" xr3:uid="{D3496463-4671-43CD-A9E0-8AA4325CA8A6}" name="#_x000a_LW" dataDxfId="156" totalsRowDxfId="155"/>
    <tableColumn id="3" xr3:uid="{EC9026B5-6E0D-4300-AB31-C78F0DD9799D}" name="Filmas _x000a_(Movie)" totalsRowLabel="Total (32)" totalsRowDxfId="154"/>
    <tableColumn id="4" xr3:uid="{ECB38E2A-02A7-4F51-8563-9000C01C7625}" name="Pajamos _x000a_(GBO)" totalsRowFunction="sum" totalsRowDxfId="153"/>
    <tableColumn id="5" xr3:uid="{B0873FA9-7BC4-4837-B421-54FA5E1CF0BF}" name="Pajamos _x000a_praeita sav._x000a_(GBO LW)" totalsRowLabel="171 383 €" dataDxfId="152" totalsRowDxfId="151"/>
    <tableColumn id="6" xr3:uid="{490ADDA3-6489-4A99-969C-BBE48D86AD84}" name="Pakitimas_x000a_(Change)" totalsRowFunction="custom" totalsRowDxfId="150">
      <calculatedColumnFormula>(D3-E3)/E3</calculatedColumnFormula>
      <totalsRowFormula>(D35-E35)/E35</totalsRowFormula>
    </tableColumn>
    <tableColumn id="7" xr3:uid="{85ADAC87-F7B3-41D5-B1EB-B46BCF896729}" name="Žiūrovų sk. _x000a_(ADM)" totalsRowFunction="sum" totalsRowDxfId="149"/>
    <tableColumn id="8" xr3:uid="{EBF61A6A-38BC-455B-89B8-FFAF01BAE679}" name="Seansų sk. _x000a_(Show count)" totalsRowDxfId="148"/>
    <tableColumn id="9" xr3:uid="{39C9EB8B-CA1C-4E59-9D61-C7A9FF20E371}" name="Lankomumo vid._x000a_(Average ADM)" totalsRowDxfId="147">
      <calculatedColumnFormula>G3/H3</calculatedColumnFormula>
    </tableColumn>
    <tableColumn id="10" xr3:uid="{4F9BCBDD-7FA2-4CBD-A9E4-D627773581C3}" name="Kopijų sk. _x000a_(DCO count)" totalsRowDxfId="146"/>
    <tableColumn id="11" xr3:uid="{B32487FE-9373-434C-88FE-FADDCCBAE1DD}" name="Rodymo savaitė_x000a_(Week on screen)" totalsRowDxfId="145"/>
    <tableColumn id="12" xr3:uid="{36192751-CC90-40FC-8B6B-B5CE60E12EB5}" name="Bendros pajamos _x000a_(Total GBO)" dataDxfId="144" totalsRowDxfId="143"/>
    <tableColumn id="13" xr3:uid="{24439172-F3C0-44F7-901E-A9B55FBCFD6F}" name="Bendras žiūrovų sk._x000a_(Total ADM)" dataDxfId="142" totalsRowDxfId="141"/>
    <tableColumn id="14" xr3:uid="{A31B1002-6360-4E4E-A7E3-9317D75C9078}" name="Premjeros data _x000a_(Release date)" dataDxfId="140" totalsRowDxfId="139"/>
    <tableColumn id="15" xr3:uid="{96466D7D-10BA-4CBA-9C97-8D2E1238795C}" name="Platintojas _x000a_(Distributor)" totalsRowLabel=" " totalsRowDxfId="138"/>
  </tableColumns>
  <tableStyleInfo name="TableStyleLight1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721A9B9-AAE2-4F8F-A730-8C8DC86D130F}" name="Table1324" displayName="Table1324" ref="A2:O40" totalsRowCount="1" headerRowDxfId="137" dataDxfId="135" totalsRowDxfId="134" headerRowBorderDxfId="136">
  <autoFilter ref="A2:O39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9">
    <sortCondition descending="1" ref="D3:D39"/>
  </sortState>
  <tableColumns count="15">
    <tableColumn id="1" xr3:uid="{E5D725A7-76A8-4A92-A62A-E1E8E31469C8}" name="#" totalsRowLabel=" " totalsRowDxfId="133"/>
    <tableColumn id="2" xr3:uid="{CC2FB657-820A-4B30-811C-D4E685B19C85}" name="#_x000a_LW" totalsRowDxfId="132"/>
    <tableColumn id="3" xr3:uid="{C8BAEB5E-FF1C-405A-970A-63816C599B16}" name="Filmas _x000a_(Movie)" totalsRowLabel="Total (37)" totalsRowDxfId="131"/>
    <tableColumn id="4" xr3:uid="{201403F6-560F-4747-A9E5-B77F56C5FB40}" name="Pajamos _x000a_(GBO)" totalsRowFunction="sum" totalsRowDxfId="130"/>
    <tableColumn id="5" xr3:uid="{A61ECFD9-139A-43D6-804B-5DBEB1D4F80A}" name="Pajamos _x000a_praeita sav._x000a_(GBO LW)" totalsRowLabel="193 314 €" totalsRowDxfId="129"/>
    <tableColumn id="6" xr3:uid="{D49454FD-09BD-4290-976A-79502B4019D5}" name="Pakitimas_x000a_(Change)" totalsRowFunction="custom" totalsRowDxfId="128">
      <calculatedColumnFormula>(D3-E3)/E3</calculatedColumnFormula>
      <totalsRowFormula>(D40-E40)/E40</totalsRowFormula>
    </tableColumn>
    <tableColumn id="7" xr3:uid="{12184BDF-3AE7-4F5C-822C-5138466A7AB0}" name="Žiūrovų sk. _x000a_(ADM)" totalsRowFunction="sum" totalsRowDxfId="127"/>
    <tableColumn id="8" xr3:uid="{F2225E4C-2D77-454D-B9A6-951A1812886B}" name="Seansų sk. _x000a_(Show count)" totalsRowDxfId="126"/>
    <tableColumn id="9" xr3:uid="{B30D1294-17AA-4249-8243-56C5C42C81E2}" name="Lankomumo vid._x000a_(Average ADM)" totalsRowDxfId="125">
      <calculatedColumnFormula>G3/H3</calculatedColumnFormula>
    </tableColumn>
    <tableColumn id="10" xr3:uid="{87C4CAE7-957E-42D4-8FC2-1529134630AF}" name="Kopijų sk. _x000a_(DCO count)" totalsRowDxfId="124"/>
    <tableColumn id="11" xr3:uid="{ADCAD8A9-C145-4F6E-B173-9E2833733A94}" name="Rodymo savaitė_x000a_(Week on screen)" totalsRowDxfId="123"/>
    <tableColumn id="12" xr3:uid="{51ED543B-6D2C-4D72-9F9A-39F61941B69F}" name="Bendros pajamos _x000a_(Total GBO)" totalsRowDxfId="122"/>
    <tableColumn id="13" xr3:uid="{8B520B9A-9B14-4B9E-BF1B-0731E83F5993}" name="Bendras žiūrovų sk._x000a_(Total ADM)" totalsRowDxfId="121"/>
    <tableColumn id="14" xr3:uid="{969B490A-D0F0-480F-A74D-C903E9A58991}" name="Premjeros data _x000a_(Release date)" totalsRowDxfId="120"/>
    <tableColumn id="15" xr3:uid="{778DF432-71DD-441A-AA66-A270ED7EF81A}" name="Platintojas _x000a_(Distributor)" totalsRowLabel=" " totalsRowDxfId="119"/>
  </tableColumns>
  <tableStyleInfo name="TableStyleLight1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A85213E-C2BD-4820-B4D6-431339BCE626}" name="Table132" displayName="Table132" ref="A2:O41" totalsRowCount="1" headerRowDxfId="118" dataDxfId="116" totalsRowDxfId="115" headerRowBorderDxfId="117">
  <autoFilter ref="A2:O40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40">
    <sortCondition descending="1" ref="D3:D40"/>
  </sortState>
  <tableColumns count="15">
    <tableColumn id="1" xr3:uid="{604CAFC1-11D8-493C-9B83-DC5F180A4318}" name="#" totalsRowDxfId="114"/>
    <tableColumn id="2" xr3:uid="{4E2815D1-45B8-4EDE-8E85-528BE7A9721B}" name="#_x000a_LW" totalsRowDxfId="113"/>
    <tableColumn id="3" xr3:uid="{6EE8540D-1A25-4492-BCBC-ECD8DD1828DF}" name="Filmas _x000a_(Movie)" totalsRowLabel="Total (38)" totalsRowDxfId="112"/>
    <tableColumn id="4" xr3:uid="{30AFA88F-C41F-46E7-8D06-D0E2A251ECE8}" name="Pajamos _x000a_(GBO)" totalsRowFunction="sum" totalsRowDxfId="111"/>
    <tableColumn id="5" xr3:uid="{8FAFD5C3-611B-4205-96D7-30077521B008}" name="Pajamos _x000a_praeita sav._x000a_(GBO LW)" totalsRowLabel="173 340 €" totalsRowDxfId="110"/>
    <tableColumn id="6" xr3:uid="{B575CD48-4B54-4A59-97FA-E23C22B72C84}" name="Pakitimas_x000a_(Change)" totalsRowFunction="custom" totalsRowDxfId="109">
      <calculatedColumnFormula>(D3-E3)/E3</calculatedColumnFormula>
      <totalsRowFormula>(D41-E41)/E41</totalsRowFormula>
    </tableColumn>
    <tableColumn id="7" xr3:uid="{0F11965D-3F37-41F4-BF98-0AFA34AB8E40}" name="Žiūrovų sk. _x000a_(ADM)" totalsRowFunction="sum" totalsRowDxfId="108"/>
    <tableColumn id="8" xr3:uid="{C8756683-40B7-4A4A-97DF-AF7ABCE22F36}" name="Seansų sk. _x000a_(Show count)" totalsRowDxfId="107"/>
    <tableColumn id="9" xr3:uid="{2474B435-F7C3-4EDA-B489-6A221658E6F4}" name="Lankomumo vid._x000a_(Average ADM)" totalsRowDxfId="106">
      <calculatedColumnFormula>G3/H3</calculatedColumnFormula>
    </tableColumn>
    <tableColumn id="10" xr3:uid="{EF007B1E-5AC8-4A4E-BD04-BA8F4B2F0B8B}" name="Kopijų sk. _x000a_(DCO count)" totalsRowDxfId="105"/>
    <tableColumn id="11" xr3:uid="{5F47B051-482C-46D3-94D7-247512A63AEF}" name="Rodymo savaitė_x000a_(Week on screen)" totalsRowDxfId="104"/>
    <tableColumn id="12" xr3:uid="{B526E584-CE36-4C60-A0CB-FD1163898F6A}" name="Bendros pajamos _x000a_(Total GBO)" totalsRowDxfId="103"/>
    <tableColumn id="13" xr3:uid="{30A981C5-C19F-43C6-88A5-6175983C3328}" name="Bendras žiūrovų sk._x000a_(Total ADM)" totalsRowDxfId="102"/>
    <tableColumn id="14" xr3:uid="{641296EE-9989-44CA-BE2F-85B8374BA535}" name="Premjeros data _x000a_(Release date)" totalsRowDxfId="101"/>
    <tableColumn id="15" xr3:uid="{B23C3732-6DF0-45B5-85F8-46D8F829A2C7}" name="Platintojas _x000a_(Distributor)" totalsRowLabel=" " totalsRowDxfId="100"/>
  </tableColumns>
  <tableStyleInfo name="TableStyleLight1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4379E32-778B-487C-96D9-D0884832B667}" name="Table13" displayName="Table13" ref="A2:O33" totalsRowCount="1" headerRowDxfId="99" dataDxfId="97" totalsRowDxfId="96" headerRowBorderDxfId="98">
  <autoFilter ref="A2:O32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2">
    <sortCondition descending="1" ref="D3:D32"/>
  </sortState>
  <tableColumns count="15">
    <tableColumn id="1" xr3:uid="{93EC8040-391C-4B64-803B-946594B6B7F7}" name="#" dataDxfId="95" totalsRowDxfId="94"/>
    <tableColumn id="2" xr3:uid="{D6AA89DD-F402-49ED-B2CA-B45ED30EB6A8}" name="#_x000a_LW" dataDxfId="93" totalsRowDxfId="92"/>
    <tableColumn id="3" xr3:uid="{8524161D-F780-40E6-96D9-D46D84D91E1F}" name="Filmas _x000a_(Movie)" totalsRowLabel="Total (30)" dataDxfId="91" totalsRowDxfId="90"/>
    <tableColumn id="4" xr3:uid="{898DAD4F-B56E-4B96-9BAF-7609A0041E01}" name="Pajamos _x000a_(GBO)" totalsRowFunction="sum" dataDxfId="89" totalsRowDxfId="88"/>
    <tableColumn id="5" xr3:uid="{C59F2D4C-5823-45F4-9D98-114FFD01A927}" name="Pajamos _x000a_praeita sav._x000a_(GBO LW)" totalsRowLabel="282 254 €" dataDxfId="87" totalsRowDxfId="86"/>
    <tableColumn id="6" xr3:uid="{F957FCE3-B2E4-448E-8740-03D906BC5EB7}" name="Pakitimas_x000a_(Change)" totalsRowFunction="custom" dataDxfId="85" totalsRowDxfId="84">
      <calculatedColumnFormula>(D3-E3)/E3</calculatedColumnFormula>
      <totalsRowFormula>(D33-E33)/E33</totalsRowFormula>
    </tableColumn>
    <tableColumn id="7" xr3:uid="{45DD8E99-004C-4D9C-979D-6F515FFFFB92}" name="Žiūrovų sk. _x000a_(ADM)" totalsRowFunction="sum" dataDxfId="83" totalsRowDxfId="82"/>
    <tableColumn id="8" xr3:uid="{2BB64C16-9186-4C4A-A0C9-08323CEFC402}" name="Seansų sk. _x000a_(Show count)" dataDxfId="81" totalsRowDxfId="80"/>
    <tableColumn id="9" xr3:uid="{F6C07FA5-1C03-4357-A44D-0B81FC66E2AF}" name="Lankomumo vid._x000a_(Average ADM)" dataDxfId="79" totalsRowDxfId="78">
      <calculatedColumnFormula>G3/H3</calculatedColumnFormula>
    </tableColumn>
    <tableColumn id="10" xr3:uid="{A3E561A1-4C0E-457E-84AA-349FD64794AE}" name="Kopijų sk. _x000a_(DCO count)" dataDxfId="77" totalsRowDxfId="76"/>
    <tableColumn id="11" xr3:uid="{E20BF4A7-9048-401E-A6FA-983414B01ED2}" name="Rodymo savaitė_x000a_(Week on screen)" dataDxfId="75" totalsRowDxfId="74"/>
    <tableColumn id="12" xr3:uid="{67BC01BA-5CB2-41D3-AB69-350EFF0FD930}" name="Bendros pajamos _x000a_(Total GBO)" dataDxfId="73" totalsRowDxfId="72"/>
    <tableColumn id="13" xr3:uid="{37483393-9FD8-4B34-8B9D-DE79FEFE93B2}" name="Bendras žiūrovų sk._x000a_(Total ADM)" dataDxfId="71" totalsRowDxfId="70"/>
    <tableColumn id="14" xr3:uid="{EADF24B6-15DA-48EA-B223-A587598EEB24}" name="Premjeros data _x000a_(Release date)" dataDxfId="69" totalsRowDxfId="68"/>
    <tableColumn id="15" xr3:uid="{5103FA11-CF5D-49EC-A2A1-D131ABB2109C}" name="Platintojas _x000a_(Distributor)" dataDxfId="67" totalsRowDxfId="66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1D1DCFF3-AD60-4485-9CED-41B7AB339383}" name="Table1324567891011121314151716181920212223" displayName="Table1324567891011121314151716181920212223" ref="A2:P34" totalsRowCount="1" headerRowDxfId="743" dataDxfId="741" totalsRowDxfId="740" headerRowBorderDxfId="742">
  <sortState xmlns:xlrd2="http://schemas.microsoft.com/office/spreadsheetml/2017/richdata2" ref="A3:P33">
    <sortCondition descending="1" ref="D3:D33"/>
  </sortState>
  <tableColumns count="16">
    <tableColumn id="1" xr3:uid="{5AC96E31-5242-4C5A-B170-D58D40171433}" name="#" totalsRowDxfId="739"/>
    <tableColumn id="2" xr3:uid="{5339FB6E-B8AE-428B-B9B9-059F735513E9}" name="#_x000a_LW" dataDxfId="738" totalsRowDxfId="737"/>
    <tableColumn id="3" xr3:uid="{F7988CC3-057F-451D-B11A-AF8983F65714}" name="Filmas _x000a_(Movie)" totalsRowLabel="Total (31)" dataDxfId="736" totalsRowDxfId="735"/>
    <tableColumn id="4" xr3:uid="{84840EC5-56CE-4065-8B05-F7EFDF018BA2}" name="Pajamos _x000a_(GBO)" totalsRowFunction="sum" dataDxfId="734" totalsRowDxfId="733"/>
    <tableColumn id="5" xr3:uid="{6944349B-16D1-4BF6-A2AA-9E82BE0F466D}" name="Pajamos _x000a_praeita sav._x000a_(GBO LW)" totalsRowLabel="142 341 €" dataDxfId="732" totalsRowDxfId="731"/>
    <tableColumn id="6" xr3:uid="{2A34B5B3-DEFC-4B85-ABAB-5D4250718DF0}" name="Pakitimas_x000a_(Change)" totalsRowFunction="custom" dataDxfId="730" totalsRowDxfId="729">
      <calculatedColumnFormula>(D3-E3)/E3</calculatedColumnFormula>
      <totalsRowFormula>(D34-E34)/E34</totalsRowFormula>
    </tableColumn>
    <tableColumn id="7" xr3:uid="{FE719819-6BB2-4A65-A2AC-70D3C9FE9C62}" name="Žiūrovų sk. _x000a_(ADM)" totalsRowFunction="sum" dataDxfId="728" totalsRowDxfId="727"/>
    <tableColumn id="8" xr3:uid="{0BC79AEF-C86D-4BF7-B0BC-FAA69D077F0E}" name="Seansų sk. _x000a_(Show count)" dataDxfId="726" totalsRowDxfId="725"/>
    <tableColumn id="9" xr3:uid="{BC862F1B-EBEA-410B-ABB7-58416EC3C38B}" name="Lankomumo vid._x000a_(Average ADM)" dataDxfId="724" totalsRowDxfId="723">
      <calculatedColumnFormula>G3/H3</calculatedColumnFormula>
    </tableColumn>
    <tableColumn id="10" xr3:uid="{AC3DCC72-0476-4CDD-B5B4-6FD07964E423}" name="Kopijų sk. _x000a_(DCO count)" dataDxfId="722" totalsRowDxfId="721"/>
    <tableColumn id="11" xr3:uid="{C180F902-100F-4E9E-B9BB-D3F44ED7C606}" name="Rodymo savaitė_x000a_(Week on screen)" dataDxfId="720" totalsRowDxfId="719"/>
    <tableColumn id="12" xr3:uid="{1EB570CC-7A9B-4018-8BB3-9E29496A4846}" name="Bendros pajamos _x000a_(Total GBO)" dataDxfId="718" totalsRowDxfId="717"/>
    <tableColumn id="13" xr3:uid="{CC4AF165-7D57-47A8-82B4-5AB5FA3A1D53}" name="Bendras žiūrovų sk._x000a_(Total ADM)" dataDxfId="716" totalsRowDxfId="715"/>
    <tableColumn id="14" xr3:uid="{D9E325F1-E4EC-4D4D-B0AB-492D8B48EE0F}" name="Premjeros data _x000a_(Release date)" dataDxfId="714" totalsRowDxfId="713"/>
    <tableColumn id="15" xr3:uid="{8D007E3D-D468-44DA-8D58-A52DB138351E}" name="Platintojas _x000a_(Distributor)" totalsRowLabel=" " dataDxfId="712" totalsRowDxfId="711"/>
    <tableColumn id="16" xr3:uid="{735F519B-5513-4CAD-8F9C-AE434E003E4B}" name="Column1" dataDxfId="710" totalsRowDxfId="709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6E9AB471-0AF4-4284-A47F-F7D5885871B8}" name="Table13245678910111213141517161819202122" displayName="Table13245678910111213141517161819202122" ref="A2:P37" totalsRowCount="1" headerRowDxfId="708" dataDxfId="706" totalsRowDxfId="705" headerRowBorderDxfId="707">
  <sortState xmlns:xlrd2="http://schemas.microsoft.com/office/spreadsheetml/2017/richdata2" ref="A3:P36">
    <sortCondition descending="1" ref="D3:D36"/>
  </sortState>
  <tableColumns count="16">
    <tableColumn id="1" xr3:uid="{0F3CD912-D659-4147-8491-B901BE77B1B9}" name="#" totalsRowDxfId="704"/>
    <tableColumn id="2" xr3:uid="{5FB78AFB-15ED-423C-A59C-6143FFFBB98A}" name="#_x000a_LW" dataDxfId="703" totalsRowDxfId="702"/>
    <tableColumn id="3" xr3:uid="{4D246929-3D27-4007-849B-D06E0DD281DC}" name="Filmas _x000a_(Movie)" totalsRowLabel="Total (34)" dataDxfId="701" totalsRowDxfId="700"/>
    <tableColumn id="4" xr3:uid="{4BD32C78-6141-4C03-A5CF-1EC652012FFD}" name="Pajamos _x000a_(GBO)" totalsRowFunction="sum" dataDxfId="699" totalsRowDxfId="698"/>
    <tableColumn id="5" xr3:uid="{1156090A-7994-41C4-839F-8E5482B926AF}" name="Pajamos _x000a_praeita sav._x000a_(GBO LW)" totalsRowLabel="207 338 €" dataDxfId="697" totalsRowDxfId="696"/>
    <tableColumn id="6" xr3:uid="{D79F89E6-7C19-47F7-8FE5-FD8831733415}" name="Pakitimas_x000a_(Change)" totalsRowFunction="custom" dataDxfId="695" totalsRowDxfId="694">
      <calculatedColumnFormula>(D3-E3)/E3</calculatedColumnFormula>
      <totalsRowFormula>(D37-E37)/E37</totalsRowFormula>
    </tableColumn>
    <tableColumn id="7" xr3:uid="{1956C325-9F18-45FB-9020-F117EE36349C}" name="Žiūrovų sk. _x000a_(ADM)" totalsRowFunction="sum" dataDxfId="693" totalsRowDxfId="692"/>
    <tableColumn id="8" xr3:uid="{E304CA48-C5B5-4B6A-8B70-32BA418F2034}" name="Seansų sk. _x000a_(Show count)" dataDxfId="691" totalsRowDxfId="690"/>
    <tableColumn id="9" xr3:uid="{6D7745B7-D557-43D0-B902-3BCF4C3689AA}" name="Lankomumo vid._x000a_(Average ADM)" dataDxfId="689" totalsRowDxfId="688">
      <calculatedColumnFormula>G3/H3</calculatedColumnFormula>
    </tableColumn>
    <tableColumn id="10" xr3:uid="{FCE6E798-6E03-455D-B012-1408F1CB33E0}" name="Kopijų sk. _x000a_(DCO count)" dataDxfId="687" totalsRowDxfId="686"/>
    <tableColumn id="11" xr3:uid="{2DD4EF0D-E5FA-4CD2-BA51-3603344D610C}" name="Rodymo savaitė_x000a_(Week on screen)" dataDxfId="685" totalsRowDxfId="684"/>
    <tableColumn id="12" xr3:uid="{831B1D41-A9A9-4C81-9F7A-6B4D30BF094E}" name="Bendros pajamos _x000a_(Total GBO)" dataDxfId="683" totalsRowDxfId="682"/>
    <tableColumn id="13" xr3:uid="{AB59BF7B-C47E-4534-95F5-F5D38F98DD05}" name="Bendras žiūrovų sk._x000a_(Total ADM)" dataDxfId="681" totalsRowDxfId="680"/>
    <tableColumn id="14" xr3:uid="{BE845AD7-B200-43EA-BA50-5522B9C9F215}" name="Premjeros data _x000a_(Release date)" dataDxfId="679" totalsRowDxfId="678"/>
    <tableColumn id="15" xr3:uid="{1E67B366-9610-48C3-BE78-8F7216F3C40A}" name="Platintojas _x000a_(Distributor)" totalsRowLabel=" " dataDxfId="677" totalsRowDxfId="676"/>
    <tableColumn id="16" xr3:uid="{7432335C-11C1-4998-9BD2-21E29F5E9EF6}" name="Column1" dataDxfId="675" totalsRowDxfId="674"/>
  </tableColumns>
  <tableStyleInfo name="TableStyleLight1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5C876EB-9210-4776-B09A-E818AEEF509E}" name="Table132456789101112131415171618192021" displayName="Table132456789101112131415171618192021" ref="A2:P38" totalsRowCount="1" headerRowDxfId="673" dataDxfId="671" totalsRowDxfId="670" headerRowBorderDxfId="672">
  <sortState xmlns:xlrd2="http://schemas.microsoft.com/office/spreadsheetml/2017/richdata2" ref="A3:P37">
    <sortCondition descending="1" ref="D3:D37"/>
  </sortState>
  <tableColumns count="16">
    <tableColumn id="1" xr3:uid="{0558EFAE-EC60-4DBC-A855-ED4BAF47D48C}" name="#" totalsRowDxfId="669"/>
    <tableColumn id="2" xr3:uid="{100F1463-9F0C-427B-9CF3-93CFC81708E2}" name="#_x000a_LW" dataDxfId="668" totalsRowDxfId="667"/>
    <tableColumn id="3" xr3:uid="{5C152411-74C2-4F18-8ADA-8D684742E869}" name="Filmas _x000a_(Movie)" totalsRowLabel="Total (35)" dataDxfId="666" totalsRowDxfId="665"/>
    <tableColumn id="4" xr3:uid="{0A23CB6F-9CBB-4AA7-8D95-65DAB37C99C7}" name="Pajamos _x000a_(GBO)" totalsRowFunction="sum" dataDxfId="664" totalsRowDxfId="663"/>
    <tableColumn id="5" xr3:uid="{EA762D07-B6D2-467C-8192-F4B9B9C6FD99}" name="Pajamos _x000a_praeita sav._x000a_(GBO LW)" totalsRowLabel="155 449 €" dataDxfId="662" totalsRowDxfId="661"/>
    <tableColumn id="6" xr3:uid="{232DD60B-9ACF-40F9-BB82-4FF9F0BD24D7}" name="Pakitimas_x000a_(Change)" totalsRowFunction="custom" dataDxfId="660" totalsRowDxfId="659">
      <calculatedColumnFormula>(D3-E3)/E3</calculatedColumnFormula>
      <totalsRowFormula>(D38-E38)/E38</totalsRowFormula>
    </tableColumn>
    <tableColumn id="7" xr3:uid="{38863869-5E30-4BA0-9435-16C342A07A3F}" name="Žiūrovų sk. _x000a_(ADM)" totalsRowFunction="sum" dataDxfId="658" totalsRowDxfId="657"/>
    <tableColumn id="8" xr3:uid="{2EE6051C-1F9A-46E2-A70F-4C20C41A0B4D}" name="Seansų sk. _x000a_(Show count)" dataDxfId="656" totalsRowDxfId="655"/>
    <tableColumn id="9" xr3:uid="{CFA8C17C-2559-426F-A5E2-B80027E44373}" name="Lankomumo vid._x000a_(Average ADM)" dataDxfId="654" totalsRowDxfId="653">
      <calculatedColumnFormula>G3/H3</calculatedColumnFormula>
    </tableColumn>
    <tableColumn id="10" xr3:uid="{480C7F57-7FF6-44CC-80CF-4CFD75A56F1E}" name="Kopijų sk. _x000a_(DCO count)" dataDxfId="652" totalsRowDxfId="651"/>
    <tableColumn id="11" xr3:uid="{DD1C10F6-2FB8-4CC2-8F40-EF0D6B8E2CA1}" name="Rodymo savaitė_x000a_(Week on screen)" dataDxfId="650" totalsRowDxfId="649"/>
    <tableColumn id="12" xr3:uid="{4B6069C8-6F23-46A3-AC50-F66F16135B53}" name="Bendros pajamos _x000a_(Total GBO)" dataDxfId="648" totalsRowDxfId="647"/>
    <tableColumn id="13" xr3:uid="{FFB3B363-2CA6-4B8D-B02A-0F8137F9377A}" name="Bendras žiūrovų sk._x000a_(Total ADM)" dataDxfId="646" totalsRowDxfId="645"/>
    <tableColumn id="14" xr3:uid="{03035944-CA7E-4EAE-BBD1-0E6C2B2306D1}" name="Premjeros data _x000a_(Release date)" dataDxfId="644" totalsRowDxfId="643"/>
    <tableColumn id="15" xr3:uid="{AD7769F9-75EA-404D-B06B-92A4AA9D6BCF}" name="Platintojas _x000a_(Distributor)" totalsRowLabel=" " dataDxfId="642" totalsRowDxfId="641"/>
    <tableColumn id="16" xr3:uid="{CB7D7416-8ECE-40AC-8F6E-EE9881C2663A}" name="Column1" dataDxfId="640" totalsRowDxfId="639"/>
  </tableColumns>
  <tableStyleInfo name="TableStyleLight1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8A82B724-5E8D-4725-8007-B45B32B6E5AB}" name="Table1324567891011121314151716181920" displayName="Table1324567891011121314151716181920" ref="A2:P37" totalsRowCount="1" headerRowDxfId="638" dataDxfId="636" totalsRowDxfId="635" headerRowBorderDxfId="637">
  <sortState xmlns:xlrd2="http://schemas.microsoft.com/office/spreadsheetml/2017/richdata2" ref="A3:P36">
    <sortCondition descending="1" ref="D3:D36"/>
  </sortState>
  <tableColumns count="16">
    <tableColumn id="1" xr3:uid="{50A60253-CC26-4FEB-B16F-7B5809870CE5}" name="#" totalsRowDxfId="634"/>
    <tableColumn id="2" xr3:uid="{045F53F6-DB4C-4AAF-9CCC-8E77825B3EAC}" name="#_x000a_LW" dataDxfId="633" totalsRowDxfId="632"/>
    <tableColumn id="3" xr3:uid="{D1313C10-3294-419C-9867-96C5BC67EDBE}" name="Filmas _x000a_(Movie)" totalsRowLabel="Total (34)" dataDxfId="631" totalsRowDxfId="630"/>
    <tableColumn id="4" xr3:uid="{82784E09-B3DC-4026-863B-585CCB683DEB}" name="Pajamos _x000a_(GBO)" totalsRowFunction="sum" dataDxfId="629" totalsRowDxfId="628"/>
    <tableColumn id="5" xr3:uid="{9A6FA4C0-2E63-4CA7-92B0-7261C3559DF7}" name="Pajamos _x000a_praeita sav._x000a_(GBO LW)" totalsRowLabel="150 337 €" dataDxfId="627" totalsRowDxfId="626"/>
    <tableColumn id="6" xr3:uid="{81B30634-96B1-4005-946A-92753D160981}" name="Pakitimas_x000a_(Change)" totalsRowFunction="custom" dataDxfId="625" totalsRowDxfId="624">
      <calculatedColumnFormula>(D3-E3)/E3</calculatedColumnFormula>
      <totalsRowFormula>(D37-E37)/E37</totalsRowFormula>
    </tableColumn>
    <tableColumn id="7" xr3:uid="{7ED75A40-966F-4555-B212-F763D31040F5}" name="Žiūrovų sk. _x000a_(ADM)" totalsRowFunction="sum" dataDxfId="623" totalsRowDxfId="622"/>
    <tableColumn id="8" xr3:uid="{B847517A-7BFF-4D7E-9D85-3484874E2F5E}" name="Seansų sk. _x000a_(Show count)" dataDxfId="621" totalsRowDxfId="620"/>
    <tableColumn id="9" xr3:uid="{827681BF-AED9-4429-94C7-3ACBB09A19B5}" name="Lankomumo vid._x000a_(Average ADM)" dataDxfId="619" totalsRowDxfId="618">
      <calculatedColumnFormula>G3/H3</calculatedColumnFormula>
    </tableColumn>
    <tableColumn id="10" xr3:uid="{4378DE7B-AFCF-4736-9E3F-AAFA2F94558F}" name="Kopijų sk. _x000a_(DCO count)" dataDxfId="617" totalsRowDxfId="616"/>
    <tableColumn id="11" xr3:uid="{C966508D-FAC8-4C11-9884-E4AD0ACD0B1E}" name="Rodymo savaitė_x000a_(Week on screen)" dataDxfId="615" totalsRowDxfId="614"/>
    <tableColumn id="12" xr3:uid="{F4DAB88B-5D07-4444-8EA2-C11E32084D58}" name="Bendros pajamos _x000a_(Total GBO)" dataDxfId="613" totalsRowDxfId="612"/>
    <tableColumn id="13" xr3:uid="{36EFFCD3-6159-4EFE-B2FA-383CB8618694}" name="Bendras žiūrovų sk._x000a_(Total ADM)" dataDxfId="611" totalsRowDxfId="610"/>
    <tableColumn id="14" xr3:uid="{1B6704D5-DDDE-4E91-9FF9-02F6BABF1A3D}" name="Premjeros data _x000a_(Release date)" dataDxfId="609" totalsRowDxfId="608"/>
    <tableColumn id="15" xr3:uid="{69B492E8-5DAE-419F-91F5-5361D3E8331C}" name="Platintojas _x000a_(Distributor)" totalsRowLabel=" " dataDxfId="607" totalsRowDxfId="606"/>
    <tableColumn id="16" xr3:uid="{BAFB605C-6B2E-4FC1-9887-9DE712506AE1}" name="Column1" dataDxfId="605" totalsRowDxfId="604"/>
  </tableColumns>
  <tableStyleInfo name="TableStyleLight1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FB8CAF4-08E2-41EC-AA76-84983151702A}" name="Table13245678910111213141517161819" displayName="Table13245678910111213141517161819" ref="A2:P30" totalsRowCount="1" headerRowDxfId="603" dataDxfId="601" totalsRowDxfId="600" headerRowBorderDxfId="602">
  <sortState xmlns:xlrd2="http://schemas.microsoft.com/office/spreadsheetml/2017/richdata2" ref="A3:P29">
    <sortCondition descending="1" ref="D3:D29"/>
  </sortState>
  <tableColumns count="16">
    <tableColumn id="1" xr3:uid="{113C7716-3CE0-4488-A0FF-4CD7C76E6E9A}" name="#" totalsRowDxfId="599"/>
    <tableColumn id="2" xr3:uid="{170157DB-6DD5-4050-9046-8845C03CAFB0}" name="#_x000a_LW" dataDxfId="598" totalsRowDxfId="597"/>
    <tableColumn id="3" xr3:uid="{B842D204-72CF-477E-9F3E-38E2F4D3D766}" name="Filmas _x000a_(Movie)" totalsRowLabel="Total (27)" dataDxfId="596" totalsRowDxfId="595"/>
    <tableColumn id="4" xr3:uid="{CDDC6EDF-A1B6-4888-9C51-E64A0FF48D4A}" name="Pajamos _x000a_(GBO)" totalsRowFunction="sum" dataDxfId="594" totalsRowDxfId="593"/>
    <tableColumn id="5" xr3:uid="{303E9FA6-6477-43E8-A703-9C26DF7E46D5}" name="Pajamos _x000a_praeita sav._x000a_(GBO LW)" totalsRowLabel="202 779 €" dataDxfId="592" totalsRowDxfId="591"/>
    <tableColumn id="6" xr3:uid="{037C3936-6DFB-4F2E-A6DF-69AFB06E48BF}" name="Pakitimas_x000a_(Change)" totalsRowFunction="custom" dataDxfId="590" totalsRowDxfId="589">
      <calculatedColumnFormula>(D3-E3)/E3</calculatedColumnFormula>
      <totalsRowFormula>(D30-E30)/E30</totalsRowFormula>
    </tableColumn>
    <tableColumn id="7" xr3:uid="{9D216E98-E2D6-4BC4-89B0-95B1697A9FFC}" name="Žiūrovų sk. _x000a_(ADM)" totalsRowFunction="sum" dataDxfId="588" totalsRowDxfId="587"/>
    <tableColumn id="8" xr3:uid="{5A4F3AEC-A49D-48F7-9EED-F7B6AD89E2A1}" name="Seansų sk. _x000a_(Show count)" dataDxfId="586" totalsRowDxfId="585"/>
    <tableColumn id="9" xr3:uid="{B9D1322C-3457-4B81-AB90-385D23A6C313}" name="Lankomumo vid._x000a_(Average ADM)" dataDxfId="584" totalsRowDxfId="583">
      <calculatedColumnFormula>G3/H3</calculatedColumnFormula>
    </tableColumn>
    <tableColumn id="10" xr3:uid="{3B9E57A7-B660-482E-8F8C-65E2B218ACF7}" name="Kopijų sk. _x000a_(DCO count)" dataDxfId="582" totalsRowDxfId="581"/>
    <tableColumn id="11" xr3:uid="{009E190B-ABE0-45F0-8905-50CDEE9A344B}" name="Rodymo savaitė_x000a_(Week on screen)" dataDxfId="580" totalsRowDxfId="579"/>
    <tableColumn id="12" xr3:uid="{F39A83F8-19AC-49F7-80D4-BFF91B9B5871}" name="Bendros pajamos _x000a_(Total GBO)" dataDxfId="578" totalsRowDxfId="577"/>
    <tableColumn id="13" xr3:uid="{18763AFA-B056-4E5B-8439-01062114AE90}" name="Bendras žiūrovų sk._x000a_(Total ADM)" dataDxfId="576" totalsRowDxfId="575"/>
    <tableColumn id="14" xr3:uid="{18DFF711-2255-4FD5-BC1F-4D02DBDA06A8}" name="Premjeros data _x000a_(Release date)" dataDxfId="574" totalsRowDxfId="573"/>
    <tableColumn id="15" xr3:uid="{2D4221E0-72D4-4C6C-85F2-32DF3776874A}" name="Platintojas _x000a_(Distributor)" totalsRowLabel=" " dataDxfId="572" totalsRowDxfId="571"/>
    <tableColumn id="16" xr3:uid="{FE7A501F-1679-48C9-81E7-A9CA4CC95135}" name="Column1" dataDxfId="570" totalsRowDxfId="569"/>
  </tableColumns>
  <tableStyleInfo name="TableStyleLight1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1E34D33-F678-4F63-9EBA-DC2BDC05FFC6}" name="Table132456789101112131415171618" displayName="Table132456789101112131415171618" ref="A2:P30" totalsRowCount="1" headerRowDxfId="568" dataDxfId="566" totalsRowDxfId="565" headerRowBorderDxfId="567">
  <sortState xmlns:xlrd2="http://schemas.microsoft.com/office/spreadsheetml/2017/richdata2" ref="A3:P29">
    <sortCondition descending="1" ref="D3:D29"/>
  </sortState>
  <tableColumns count="16">
    <tableColumn id="1" xr3:uid="{2EB33A64-32A9-476C-98B7-441A2C4ED553}" name="#" totalsRowDxfId="564"/>
    <tableColumn id="2" xr3:uid="{B3819F4F-AA60-49E1-9D73-F2E3F46D87EA}" name="#_x000a_LW" dataDxfId="563" totalsRowDxfId="562"/>
    <tableColumn id="3" xr3:uid="{536582CA-FDC4-4FA6-BDB1-11ECCBB8AD9E}" name="Filmas _x000a_(Movie)" totalsRowLabel="Total (27)" dataDxfId="561" totalsRowDxfId="560"/>
    <tableColumn id="4" xr3:uid="{04594C9F-CBC5-4F36-94C4-A0A609547F20}" name="Pajamos _x000a_(GBO)" totalsRowFunction="sum" dataDxfId="559" totalsRowDxfId="558"/>
    <tableColumn id="5" xr3:uid="{F267670B-6DB0-43B7-A599-2FC936044F95}" name="Pajamos _x000a_praeita sav._x000a_(GBO LW)" totalsRowLabel="273 715 €" dataDxfId="557" totalsRowDxfId="556"/>
    <tableColumn id="6" xr3:uid="{D4C8D3C7-85E1-496D-9835-30898BE3DDEE}" name="Pakitimas_x000a_(Change)" totalsRowFunction="custom" dataDxfId="555" totalsRowDxfId="554">
      <calculatedColumnFormula>(D3-E3)/E3</calculatedColumnFormula>
      <totalsRowFormula>(D30-E30)/E30</totalsRowFormula>
    </tableColumn>
    <tableColumn id="7" xr3:uid="{1CE6E68A-252B-4ADD-9F42-88ED75325B75}" name="Žiūrovų sk. _x000a_(ADM)" totalsRowFunction="sum" dataDxfId="553" totalsRowDxfId="552"/>
    <tableColumn id="8" xr3:uid="{10D782CF-82C7-4B37-A3C5-83005B35CFD1}" name="Seansų sk. _x000a_(Show count)" dataDxfId="551" totalsRowDxfId="550"/>
    <tableColumn id="9" xr3:uid="{707DAF65-2C97-4A03-891A-B48BA0C97D2F}" name="Lankomumo vid._x000a_(Average ADM)" dataDxfId="549" totalsRowDxfId="548">
      <calculatedColumnFormula>G3/H3</calculatedColumnFormula>
    </tableColumn>
    <tableColumn id="10" xr3:uid="{2E14C7F0-6DDB-44DD-A13A-E11DC4F9D92D}" name="Kopijų sk. _x000a_(DCO count)" dataDxfId="547" totalsRowDxfId="546"/>
    <tableColumn id="11" xr3:uid="{AF4DE565-5D1B-4615-B065-2A4C8A2C8B32}" name="Rodymo savaitė_x000a_(Week on screen)" dataDxfId="545" totalsRowDxfId="544"/>
    <tableColumn id="12" xr3:uid="{3AC71149-8CEC-4661-8DE6-0A20FFF10296}" name="Bendros pajamos _x000a_(Total GBO)" dataDxfId="543" totalsRowDxfId="542"/>
    <tableColumn id="13" xr3:uid="{BC100E68-EAC2-4C0C-A559-4A2E926CD287}" name="Bendras žiūrovų sk._x000a_(Total ADM)" dataDxfId="541" totalsRowDxfId="540"/>
    <tableColumn id="14" xr3:uid="{1AD38C5A-E5C1-49CE-A765-6C268AC20A3F}" name="Premjeros data _x000a_(Release date)" dataDxfId="539" totalsRowDxfId="538"/>
    <tableColumn id="15" xr3:uid="{7D6584DA-9CF0-40EF-B7B0-8DE42CFE5EDF}" name="Platintojas _x000a_(Distributor)" totalsRowLabel=" " dataDxfId="537" totalsRowDxfId="536"/>
    <tableColumn id="16" xr3:uid="{E8DF96DD-6168-4854-A475-AA7A90869DCD}" name="Column1" dataDxfId="535" totalsRowDxfId="534"/>
  </tableColumns>
  <tableStyleInfo name="TableStyleLight1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AEDF3311-1151-409F-9725-92D925B4A91C}" name="Table1324567891011121314151716" displayName="Table1324567891011121314151716" ref="A2:P28" totalsRowCount="1" headerRowDxfId="533" dataDxfId="531" totalsRowDxfId="530" headerRowBorderDxfId="532">
  <sortState xmlns:xlrd2="http://schemas.microsoft.com/office/spreadsheetml/2017/richdata2" ref="A3:P27">
    <sortCondition descending="1" ref="D3:D27"/>
  </sortState>
  <tableColumns count="16">
    <tableColumn id="1" xr3:uid="{5EF2AFA6-D2CF-4C76-8B8E-C2F7E1DE7C84}" name="#" totalsRowDxfId="529"/>
    <tableColumn id="2" xr3:uid="{93CB5C0C-FF83-4185-923E-50CF652CFCF8}" name="#_x000a_LW" dataDxfId="528" totalsRowDxfId="527"/>
    <tableColumn id="3" xr3:uid="{EC711A9A-356D-4E05-9A99-E36498780043}" name="Filmas _x000a_(Movie)" totalsRowLabel="Total (25)" dataDxfId="526" totalsRowDxfId="525"/>
    <tableColumn id="4" xr3:uid="{111B054B-0A25-4FC0-8BC8-8A2372CACC0A}" name="Pajamos _x000a_(GBO)" totalsRowFunction="sum" dataDxfId="524" totalsRowDxfId="523"/>
    <tableColumn id="5" xr3:uid="{AFB87478-6A80-4D34-BB4E-6613D5CF0970}" name="Pajamos _x000a_praeita sav._x000a_(GBO LW)" totalsRowLabel="371 660 €" dataDxfId="522" totalsRowDxfId="521"/>
    <tableColumn id="6" xr3:uid="{9A2BEAC0-AF64-47B7-B1EF-4FD8B353C4DB}" name="Pakitimas_x000a_(Change)" totalsRowFunction="custom" dataDxfId="520" totalsRowDxfId="519">
      <calculatedColumnFormula>(D3-E3)/E3</calculatedColumnFormula>
      <totalsRowFormula>(D28-E28)/E28</totalsRowFormula>
    </tableColumn>
    <tableColumn id="7" xr3:uid="{05029671-9D8F-4BAF-8361-7A83FE43D974}" name="Žiūrovų sk. _x000a_(ADM)" totalsRowFunction="sum" dataDxfId="518" totalsRowDxfId="517"/>
    <tableColumn id="8" xr3:uid="{C1A528AD-470D-4AAC-8BEE-1F6D27CCC7CE}" name="Seansų sk. _x000a_(Show count)" dataDxfId="516" totalsRowDxfId="515"/>
    <tableColumn id="9" xr3:uid="{F962027A-4923-42C6-89DC-ADCBA7356F18}" name="Lankomumo vid._x000a_(Average ADM)" dataDxfId="514" totalsRowDxfId="513">
      <calculatedColumnFormula>G3/H3</calculatedColumnFormula>
    </tableColumn>
    <tableColumn id="10" xr3:uid="{9122DA9E-1641-4746-A4AD-5D185F0CA218}" name="Kopijų sk. _x000a_(DCO count)" dataDxfId="512" totalsRowDxfId="511"/>
    <tableColumn id="11" xr3:uid="{FF493984-86D5-40A4-8CA8-B1C5F18C3615}" name="Rodymo savaitė_x000a_(Week on screen)" dataDxfId="510" totalsRowDxfId="509"/>
    <tableColumn id="12" xr3:uid="{18D674B0-A5E0-4393-AF77-D55DEDBFE801}" name="Bendros pajamos _x000a_(Total GBO)" dataDxfId="508" totalsRowDxfId="507"/>
    <tableColumn id="13" xr3:uid="{5EF452C7-A123-4E1B-B02D-ECE115C17135}" name="Bendras žiūrovų sk._x000a_(Total ADM)" dataDxfId="506" totalsRowDxfId="505"/>
    <tableColumn id="14" xr3:uid="{44063807-31A4-4AFC-89A9-6127B0DAFB68}" name="Premjeros data _x000a_(Release date)" dataDxfId="504" totalsRowDxfId="503"/>
    <tableColumn id="15" xr3:uid="{1CCC9F47-9680-484B-8A40-82898B6D955D}" name="Platintojas _x000a_(Distributor)" totalsRowLabel=" " dataDxfId="502" totalsRowDxfId="501"/>
    <tableColumn id="16" xr3:uid="{6D2F22EF-5664-4DA4-8018-276FDD480E1C}" name="Column1" dataDxfId="500" totalsRowDxfId="499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622B8-2E18-4C99-9D7E-2F7CE2674B5A}">
  <dimension ref="A1:XFC73"/>
  <sheetViews>
    <sheetView tabSelected="1" zoomScale="60" zoomScaleNormal="60" workbookViewId="0">
      <selection activeCell="F29" sqref="F29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44" customWidth="1"/>
    <col min="3" max="3" width="31.4257812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270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115" customFormat="1" ht="24.95" customHeight="1" x14ac:dyDescent="0.2">
      <c r="A3" s="31">
        <v>1</v>
      </c>
      <c r="B3" s="117" t="s">
        <v>15</v>
      </c>
      <c r="C3" s="106" t="s">
        <v>278</v>
      </c>
      <c r="D3" s="107">
        <v>61058.65</v>
      </c>
      <c r="E3" s="108" t="s">
        <v>17</v>
      </c>
      <c r="F3" s="109" t="s">
        <v>17</v>
      </c>
      <c r="G3" s="110">
        <v>7841</v>
      </c>
      <c r="H3" s="108" t="s">
        <v>17</v>
      </c>
      <c r="I3" s="109" t="s">
        <v>17</v>
      </c>
      <c r="J3" s="111">
        <v>14</v>
      </c>
      <c r="K3" s="111">
        <v>1</v>
      </c>
      <c r="L3" s="107">
        <v>64339.35</v>
      </c>
      <c r="M3" s="110">
        <v>8401</v>
      </c>
      <c r="N3" s="112">
        <v>45198</v>
      </c>
      <c r="O3" s="113" t="s">
        <v>279</v>
      </c>
      <c r="P3" s="89"/>
    </row>
    <row r="4" spans="1:18" s="115" customFormat="1" ht="24.6" customHeight="1" x14ac:dyDescent="0.2">
      <c r="A4" s="31">
        <v>2</v>
      </c>
      <c r="B4" s="117" t="s">
        <v>15</v>
      </c>
      <c r="C4" s="106" t="s">
        <v>276</v>
      </c>
      <c r="D4" s="107">
        <v>39559.99</v>
      </c>
      <c r="E4" s="108" t="s">
        <v>17</v>
      </c>
      <c r="F4" s="109" t="s">
        <v>17</v>
      </c>
      <c r="G4" s="110">
        <v>5399</v>
      </c>
      <c r="H4" s="111">
        <v>98</v>
      </c>
      <c r="I4" s="111">
        <f>G4/H4</f>
        <v>55.091836734693878</v>
      </c>
      <c r="J4" s="111">
        <v>14</v>
      </c>
      <c r="K4" s="111">
        <v>1</v>
      </c>
      <c r="L4" s="107">
        <v>39559.99</v>
      </c>
      <c r="M4" s="110">
        <v>5399</v>
      </c>
      <c r="N4" s="112">
        <v>45198</v>
      </c>
      <c r="O4" s="67" t="s">
        <v>25</v>
      </c>
      <c r="P4" s="89"/>
    </row>
    <row r="5" spans="1:18" s="115" customFormat="1" ht="24.6" customHeight="1" x14ac:dyDescent="0.2">
      <c r="A5" s="31">
        <v>3</v>
      </c>
      <c r="B5" s="117">
        <v>3</v>
      </c>
      <c r="C5" s="106" t="s">
        <v>255</v>
      </c>
      <c r="D5" s="107">
        <v>28901.33</v>
      </c>
      <c r="E5" s="108">
        <v>28558.07</v>
      </c>
      <c r="F5" s="109">
        <f>(D5-E5)/E5</f>
        <v>1.2019719820001913E-2</v>
      </c>
      <c r="G5" s="110">
        <v>5554</v>
      </c>
      <c r="H5" s="111">
        <v>103</v>
      </c>
      <c r="I5" s="111">
        <f>G5/H5</f>
        <v>53.922330097087375</v>
      </c>
      <c r="J5" s="111">
        <v>13</v>
      </c>
      <c r="K5" s="111">
        <v>3</v>
      </c>
      <c r="L5" s="107">
        <v>101933.09</v>
      </c>
      <c r="M5" s="110">
        <v>19717</v>
      </c>
      <c r="N5" s="112">
        <v>45184</v>
      </c>
      <c r="O5" s="119" t="s">
        <v>25</v>
      </c>
      <c r="P5" s="116"/>
      <c r="R5" s="114"/>
    </row>
    <row r="6" spans="1:18" s="115" customFormat="1" ht="24.95" customHeight="1" x14ac:dyDescent="0.2">
      <c r="A6" s="31">
        <v>4</v>
      </c>
      <c r="B6" s="117">
        <v>1</v>
      </c>
      <c r="C6" s="106" t="s">
        <v>267</v>
      </c>
      <c r="D6" s="107">
        <v>26771.31</v>
      </c>
      <c r="E6" s="108">
        <v>33990.15</v>
      </c>
      <c r="F6" s="109">
        <f>(D6-E6)/E6</f>
        <v>-0.21238035136649883</v>
      </c>
      <c r="G6" s="110">
        <v>3952</v>
      </c>
      <c r="H6" s="111">
        <v>71</v>
      </c>
      <c r="I6" s="111">
        <f>G6/H6</f>
        <v>55.661971830985912</v>
      </c>
      <c r="J6" s="111">
        <v>20</v>
      </c>
      <c r="K6" s="111">
        <v>2</v>
      </c>
      <c r="L6" s="107">
        <v>89613.36</v>
      </c>
      <c r="M6" s="110">
        <v>13568</v>
      </c>
      <c r="N6" s="112">
        <v>45191</v>
      </c>
      <c r="O6" s="113" t="s">
        <v>73</v>
      </c>
      <c r="P6" s="116"/>
      <c r="R6" s="114"/>
    </row>
    <row r="7" spans="1:18" s="115" customFormat="1" ht="24.6" customHeight="1" x14ac:dyDescent="0.2">
      <c r="A7" s="31">
        <v>5</v>
      </c>
      <c r="B7" s="117" t="s">
        <v>15</v>
      </c>
      <c r="C7" s="106" t="s">
        <v>277</v>
      </c>
      <c r="D7" s="107">
        <v>18290.47</v>
      </c>
      <c r="E7" s="108" t="s">
        <v>17</v>
      </c>
      <c r="F7" s="109" t="s">
        <v>17</v>
      </c>
      <c r="G7" s="110">
        <v>3284</v>
      </c>
      <c r="H7" s="111">
        <v>92</v>
      </c>
      <c r="I7" s="111">
        <f>G7/H7</f>
        <v>35.695652173913047</v>
      </c>
      <c r="J7" s="111">
        <v>16</v>
      </c>
      <c r="K7" s="111">
        <v>1</v>
      </c>
      <c r="L7" s="107">
        <v>18906.47</v>
      </c>
      <c r="M7" s="110">
        <v>3438</v>
      </c>
      <c r="N7" s="112">
        <v>45198</v>
      </c>
      <c r="O7" s="113" t="s">
        <v>25</v>
      </c>
      <c r="P7" s="89"/>
      <c r="R7" s="114"/>
    </row>
    <row r="8" spans="1:18" s="115" customFormat="1" ht="24.95" customHeight="1" x14ac:dyDescent="0.2">
      <c r="A8" s="31">
        <v>6</v>
      </c>
      <c r="B8" s="117">
        <v>2</v>
      </c>
      <c r="C8" s="106" t="s">
        <v>252</v>
      </c>
      <c r="D8" s="108">
        <v>17113.27</v>
      </c>
      <c r="E8" s="108">
        <v>31113.03</v>
      </c>
      <c r="F8" s="109">
        <f>(D8-E8)/E8</f>
        <v>-0.44996453254472479</v>
      </c>
      <c r="G8" s="117">
        <v>2453</v>
      </c>
      <c r="H8" s="105">
        <v>50</v>
      </c>
      <c r="I8" s="111">
        <f>G8/H8</f>
        <v>49.06</v>
      </c>
      <c r="J8" s="105">
        <v>9</v>
      </c>
      <c r="K8" s="105">
        <v>4</v>
      </c>
      <c r="L8" s="108">
        <v>205317.7</v>
      </c>
      <c r="M8" s="117">
        <v>27732</v>
      </c>
      <c r="N8" s="112">
        <v>45177</v>
      </c>
      <c r="O8" s="119" t="s">
        <v>21</v>
      </c>
      <c r="P8" s="116"/>
      <c r="R8" s="114"/>
    </row>
    <row r="9" spans="1:18" s="115" customFormat="1" ht="24.95" customHeight="1" x14ac:dyDescent="0.2">
      <c r="A9" s="31">
        <v>7</v>
      </c>
      <c r="B9" s="117">
        <v>7</v>
      </c>
      <c r="C9" s="106" t="s">
        <v>259</v>
      </c>
      <c r="D9" s="107">
        <v>11010.9</v>
      </c>
      <c r="E9" s="108">
        <v>12382.28</v>
      </c>
      <c r="F9" s="109">
        <f>(D9-E9)/E9</f>
        <v>-0.11075343151665129</v>
      </c>
      <c r="G9" s="110">
        <v>1685</v>
      </c>
      <c r="H9" s="111">
        <v>38</v>
      </c>
      <c r="I9" s="111">
        <f>G9/H9</f>
        <v>44.342105263157897</v>
      </c>
      <c r="J9" s="111">
        <v>10</v>
      </c>
      <c r="K9" s="111">
        <v>3</v>
      </c>
      <c r="L9" s="107">
        <v>57980.58</v>
      </c>
      <c r="M9" s="110">
        <v>8807</v>
      </c>
      <c r="N9" s="112">
        <v>45184</v>
      </c>
      <c r="O9" s="113" t="s">
        <v>49</v>
      </c>
      <c r="P9" s="116"/>
      <c r="R9" s="114"/>
    </row>
    <row r="10" spans="1:18" s="115" customFormat="1" ht="24.95" customHeight="1" x14ac:dyDescent="0.2">
      <c r="A10" s="31">
        <v>8</v>
      </c>
      <c r="B10" s="117" t="s">
        <v>15</v>
      </c>
      <c r="C10" s="106" t="s">
        <v>275</v>
      </c>
      <c r="D10" s="107">
        <v>10814.35</v>
      </c>
      <c r="E10" s="108" t="s">
        <v>17</v>
      </c>
      <c r="F10" s="109" t="s">
        <v>17</v>
      </c>
      <c r="G10" s="110">
        <v>1529</v>
      </c>
      <c r="H10" s="111">
        <v>64</v>
      </c>
      <c r="I10" s="111">
        <f>G10/H10</f>
        <v>23.890625</v>
      </c>
      <c r="J10" s="111">
        <v>14</v>
      </c>
      <c r="K10" s="111">
        <v>1</v>
      </c>
      <c r="L10" s="107">
        <v>11637.25</v>
      </c>
      <c r="M10" s="110">
        <v>1672</v>
      </c>
      <c r="N10" s="112">
        <v>45198</v>
      </c>
      <c r="O10" s="113" t="s">
        <v>33</v>
      </c>
      <c r="P10" s="87"/>
      <c r="R10" s="114"/>
    </row>
    <row r="11" spans="1:18" s="115" customFormat="1" ht="24.95" customHeight="1" x14ac:dyDescent="0.2">
      <c r="A11" s="31">
        <v>9</v>
      </c>
      <c r="B11" s="117">
        <v>8</v>
      </c>
      <c r="C11" s="106" t="s">
        <v>193</v>
      </c>
      <c r="D11" s="107">
        <v>9528.75</v>
      </c>
      <c r="E11" s="108">
        <v>10747.01</v>
      </c>
      <c r="F11" s="109">
        <f>(D11-E11)/E11</f>
        <v>-0.11335804098070069</v>
      </c>
      <c r="G11" s="110">
        <v>1393</v>
      </c>
      <c r="H11" s="111">
        <v>25</v>
      </c>
      <c r="I11" s="111">
        <f>G11/H11</f>
        <v>55.72</v>
      </c>
      <c r="J11" s="111">
        <v>6</v>
      </c>
      <c r="K11" s="111">
        <v>11</v>
      </c>
      <c r="L11" s="107">
        <v>1057948.6599999999</v>
      </c>
      <c r="M11" s="110">
        <v>148712</v>
      </c>
      <c r="N11" s="112">
        <v>45128</v>
      </c>
      <c r="O11" s="113" t="s">
        <v>160</v>
      </c>
      <c r="P11" s="116"/>
      <c r="R11" s="114"/>
    </row>
    <row r="12" spans="1:18" s="118" customFormat="1" ht="24.6" customHeight="1" x14ac:dyDescent="0.2">
      <c r="A12" s="31">
        <v>10</v>
      </c>
      <c r="B12" s="117">
        <v>4</v>
      </c>
      <c r="C12" s="106" t="s">
        <v>264</v>
      </c>
      <c r="D12" s="107">
        <v>9322.7900000000009</v>
      </c>
      <c r="E12" s="108">
        <v>20398.349999999999</v>
      </c>
      <c r="F12" s="109">
        <f>(D12-E12)/E12</f>
        <v>-0.54296352401052039</v>
      </c>
      <c r="G12" s="110">
        <v>1356</v>
      </c>
      <c r="H12" s="111">
        <v>43</v>
      </c>
      <c r="I12" s="111">
        <f>G12/H12</f>
        <v>31.534883720930232</v>
      </c>
      <c r="J12" s="111">
        <v>11</v>
      </c>
      <c r="K12" s="111">
        <v>2</v>
      </c>
      <c r="L12" s="107">
        <v>40575.42</v>
      </c>
      <c r="M12" s="110">
        <v>5843</v>
      </c>
      <c r="N12" s="112">
        <v>45191</v>
      </c>
      <c r="O12" s="113" t="s">
        <v>219</v>
      </c>
      <c r="P12" s="116"/>
    </row>
    <row r="13" spans="1:18" s="118" customFormat="1" ht="24.6" customHeight="1" x14ac:dyDescent="0.2">
      <c r="A13" s="31">
        <v>11</v>
      </c>
      <c r="B13" s="117">
        <v>6</v>
      </c>
      <c r="C13" s="106" t="s">
        <v>262</v>
      </c>
      <c r="D13" s="107">
        <v>8108</v>
      </c>
      <c r="E13" s="108">
        <v>13806</v>
      </c>
      <c r="F13" s="109">
        <f>(D13-E13)/E13</f>
        <v>-0.41271910763436187</v>
      </c>
      <c r="G13" s="110">
        <v>1635</v>
      </c>
      <c r="H13" s="109" t="s">
        <v>17</v>
      </c>
      <c r="I13" s="109" t="s">
        <v>17</v>
      </c>
      <c r="J13" s="111">
        <v>11</v>
      </c>
      <c r="K13" s="111">
        <v>2</v>
      </c>
      <c r="L13" s="107">
        <v>23904</v>
      </c>
      <c r="M13" s="110">
        <v>4760</v>
      </c>
      <c r="N13" s="112">
        <v>45191</v>
      </c>
      <c r="O13" s="113" t="s">
        <v>28</v>
      </c>
      <c r="P13" s="116"/>
    </row>
    <row r="14" spans="1:18" s="118" customFormat="1" ht="24.6" customHeight="1" x14ac:dyDescent="0.2">
      <c r="A14" s="31">
        <v>12</v>
      </c>
      <c r="B14" s="117">
        <v>9</v>
      </c>
      <c r="C14" s="106" t="s">
        <v>236</v>
      </c>
      <c r="D14" s="107">
        <v>7082.52</v>
      </c>
      <c r="E14" s="108">
        <v>8794.6</v>
      </c>
      <c r="F14" s="109">
        <f>(D14-E14)/E14</f>
        <v>-0.19467400450276304</v>
      </c>
      <c r="G14" s="110">
        <v>1359</v>
      </c>
      <c r="H14" s="111">
        <v>38</v>
      </c>
      <c r="I14" s="111">
        <f>G14/H14</f>
        <v>35.763157894736842</v>
      </c>
      <c r="J14" s="111">
        <v>10</v>
      </c>
      <c r="K14" s="111">
        <v>6</v>
      </c>
      <c r="L14" s="107">
        <v>114203.43000000001</v>
      </c>
      <c r="M14" s="110">
        <v>23029</v>
      </c>
      <c r="N14" s="112">
        <v>45163</v>
      </c>
      <c r="O14" s="113" t="s">
        <v>33</v>
      </c>
      <c r="P14" s="116"/>
    </row>
    <row r="15" spans="1:18" s="118" customFormat="1" ht="24.6" customHeight="1" x14ac:dyDescent="0.2">
      <c r="A15" s="31">
        <v>13</v>
      </c>
      <c r="B15" s="117">
        <v>10</v>
      </c>
      <c r="C15" s="106" t="s">
        <v>216</v>
      </c>
      <c r="D15" s="107">
        <v>6463.46</v>
      </c>
      <c r="E15" s="108">
        <v>7983.66</v>
      </c>
      <c r="F15" s="109">
        <f>(D15-E15)/E15</f>
        <v>-0.19041392043248334</v>
      </c>
      <c r="G15" s="110">
        <v>1026</v>
      </c>
      <c r="H15" s="111">
        <v>17</v>
      </c>
      <c r="I15" s="111">
        <f>G15/H15</f>
        <v>60.352941176470587</v>
      </c>
      <c r="J15" s="111">
        <v>5</v>
      </c>
      <c r="K15" s="111">
        <v>8</v>
      </c>
      <c r="L15" s="107">
        <v>227519.38</v>
      </c>
      <c r="M15" s="110">
        <v>36187</v>
      </c>
      <c r="N15" s="112">
        <v>45149</v>
      </c>
      <c r="O15" s="113" t="s">
        <v>23</v>
      </c>
      <c r="P15" s="116"/>
    </row>
    <row r="16" spans="1:18" s="118" customFormat="1" ht="24.6" customHeight="1" x14ac:dyDescent="0.2">
      <c r="A16" s="31">
        <v>14</v>
      </c>
      <c r="B16" s="117">
        <v>5</v>
      </c>
      <c r="C16" s="106" t="s">
        <v>258</v>
      </c>
      <c r="D16" s="108">
        <v>5628</v>
      </c>
      <c r="E16" s="108">
        <v>13911</v>
      </c>
      <c r="F16" s="109">
        <f>(D16-E16)/E16</f>
        <v>-0.59542807849902957</v>
      </c>
      <c r="G16" s="117">
        <v>892</v>
      </c>
      <c r="H16" s="109" t="s">
        <v>17</v>
      </c>
      <c r="I16" s="109" t="s">
        <v>17</v>
      </c>
      <c r="J16" s="105">
        <v>9</v>
      </c>
      <c r="K16" s="105">
        <v>3</v>
      </c>
      <c r="L16" s="108">
        <v>81773</v>
      </c>
      <c r="M16" s="117">
        <v>11995</v>
      </c>
      <c r="N16" s="112">
        <v>45184</v>
      </c>
      <c r="O16" s="113" t="s">
        <v>28</v>
      </c>
      <c r="P16" s="116"/>
    </row>
    <row r="17" spans="1:16" s="118" customFormat="1" ht="24.6" customHeight="1" x14ac:dyDescent="0.2">
      <c r="A17" s="31">
        <v>15</v>
      </c>
      <c r="B17" s="117" t="s">
        <v>15</v>
      </c>
      <c r="C17" s="106" t="s">
        <v>273</v>
      </c>
      <c r="D17" s="107">
        <v>4776.74</v>
      </c>
      <c r="E17" s="34" t="s">
        <v>17</v>
      </c>
      <c r="F17" s="34" t="s">
        <v>17</v>
      </c>
      <c r="G17" s="110">
        <v>708</v>
      </c>
      <c r="H17" s="111">
        <v>45</v>
      </c>
      <c r="I17" s="111">
        <f>G17/H17</f>
        <v>15.733333333333333</v>
      </c>
      <c r="J17" s="111">
        <v>5</v>
      </c>
      <c r="K17" s="111">
        <v>1</v>
      </c>
      <c r="L17" s="107">
        <v>4776.74</v>
      </c>
      <c r="M17" s="110">
        <v>708</v>
      </c>
      <c r="N17" s="112">
        <v>45198</v>
      </c>
      <c r="O17" s="113" t="s">
        <v>274</v>
      </c>
      <c r="P17" s="87"/>
    </row>
    <row r="18" spans="1:16" s="118" customFormat="1" ht="24.6" customHeight="1" x14ac:dyDescent="0.15">
      <c r="A18" s="31">
        <v>16</v>
      </c>
      <c r="B18" s="117">
        <v>13</v>
      </c>
      <c r="C18" s="106" t="s">
        <v>154</v>
      </c>
      <c r="D18" s="107">
        <v>4681.1899999999996</v>
      </c>
      <c r="E18" s="108">
        <v>4177.47</v>
      </c>
      <c r="F18" s="109">
        <f>(D18-E18)/E18</f>
        <v>0.12058015976176951</v>
      </c>
      <c r="G18" s="110">
        <v>881</v>
      </c>
      <c r="H18" s="111">
        <v>15</v>
      </c>
      <c r="I18" s="111">
        <f>G18/H18</f>
        <v>58.733333333333334</v>
      </c>
      <c r="J18" s="111">
        <v>4</v>
      </c>
      <c r="K18" s="111">
        <v>16</v>
      </c>
      <c r="L18" s="107">
        <v>502274.09</v>
      </c>
      <c r="M18" s="110">
        <v>99098</v>
      </c>
      <c r="N18" s="112">
        <v>45093</v>
      </c>
      <c r="O18" s="113" t="s">
        <v>49</v>
      </c>
      <c r="P18" s="119"/>
    </row>
    <row r="19" spans="1:16" s="118" customFormat="1" ht="24.6" customHeight="1" x14ac:dyDescent="0.2">
      <c r="A19" s="31">
        <v>17</v>
      </c>
      <c r="B19" s="117">
        <v>12</v>
      </c>
      <c r="C19" s="106" t="s">
        <v>246</v>
      </c>
      <c r="D19" s="107">
        <v>2448.5100000000002</v>
      </c>
      <c r="E19" s="108">
        <v>4744.2700000000004</v>
      </c>
      <c r="F19" s="109">
        <f>(D19-E19)/E19</f>
        <v>-0.48390163291718219</v>
      </c>
      <c r="G19" s="110">
        <v>334</v>
      </c>
      <c r="H19" s="111">
        <v>7</v>
      </c>
      <c r="I19" s="111">
        <f>G19/H19</f>
        <v>47.714285714285715</v>
      </c>
      <c r="J19" s="111">
        <v>3</v>
      </c>
      <c r="K19" s="111">
        <v>5</v>
      </c>
      <c r="L19" s="107">
        <v>71102.95</v>
      </c>
      <c r="M19" s="110">
        <v>10138</v>
      </c>
      <c r="N19" s="112">
        <v>45170</v>
      </c>
      <c r="O19" s="113" t="s">
        <v>23</v>
      </c>
      <c r="P19" s="116"/>
    </row>
    <row r="20" spans="1:16" s="118" customFormat="1" ht="24.6" customHeight="1" x14ac:dyDescent="0.2">
      <c r="A20" s="31">
        <v>18</v>
      </c>
      <c r="B20" s="117">
        <v>14</v>
      </c>
      <c r="C20" s="106" t="s">
        <v>189</v>
      </c>
      <c r="D20" s="107">
        <v>1826.94</v>
      </c>
      <c r="E20" s="108">
        <v>3945.5</v>
      </c>
      <c r="F20" s="109">
        <f>(D20-E20)/E20</f>
        <v>-0.53695602585223667</v>
      </c>
      <c r="G20" s="110">
        <v>260</v>
      </c>
      <c r="H20" s="111">
        <v>5</v>
      </c>
      <c r="I20" s="111">
        <f>G20/H20</f>
        <v>52</v>
      </c>
      <c r="J20" s="111">
        <v>2</v>
      </c>
      <c r="K20" s="111">
        <v>11</v>
      </c>
      <c r="L20" s="107">
        <v>1154403.05</v>
      </c>
      <c r="M20" s="110">
        <v>175601</v>
      </c>
      <c r="N20" s="112">
        <v>45128</v>
      </c>
      <c r="O20" s="113" t="s">
        <v>21</v>
      </c>
      <c r="P20" s="116"/>
    </row>
    <row r="21" spans="1:16" s="118" customFormat="1" ht="24.6" customHeight="1" x14ac:dyDescent="0.2">
      <c r="A21" s="31">
        <v>19</v>
      </c>
      <c r="B21" s="117">
        <v>18</v>
      </c>
      <c r="C21" s="106" t="s">
        <v>227</v>
      </c>
      <c r="D21" s="107">
        <v>1271.5</v>
      </c>
      <c r="E21" s="108">
        <v>954.5</v>
      </c>
      <c r="F21" s="109">
        <f>(D21-E21)/E21</f>
        <v>0.33211105290728132</v>
      </c>
      <c r="G21" s="110">
        <v>271</v>
      </c>
      <c r="H21" s="111">
        <v>4</v>
      </c>
      <c r="I21" s="111">
        <f>G21/H21</f>
        <v>67.75</v>
      </c>
      <c r="J21" s="111">
        <v>3</v>
      </c>
      <c r="K21" s="111">
        <v>7</v>
      </c>
      <c r="L21" s="107">
        <v>40766.589999999997</v>
      </c>
      <c r="M21" s="110">
        <v>7120</v>
      </c>
      <c r="N21" s="112">
        <v>45156</v>
      </c>
      <c r="O21" s="113" t="s">
        <v>219</v>
      </c>
      <c r="P21" s="116"/>
    </row>
    <row r="22" spans="1:16" s="118" customFormat="1" ht="24.6" customHeight="1" x14ac:dyDescent="0.2">
      <c r="A22" s="31">
        <v>20</v>
      </c>
      <c r="B22" s="117">
        <v>16</v>
      </c>
      <c r="C22" s="106" t="s">
        <v>266</v>
      </c>
      <c r="D22" s="107">
        <v>1001.74</v>
      </c>
      <c r="E22" s="108">
        <v>1710.15</v>
      </c>
      <c r="F22" s="109">
        <f>(D22-E22)/E22</f>
        <v>-0.41423851708914428</v>
      </c>
      <c r="G22" s="110">
        <v>250</v>
      </c>
      <c r="H22" s="111">
        <v>10</v>
      </c>
      <c r="I22" s="111">
        <f>G22/H22</f>
        <v>25</v>
      </c>
      <c r="J22" s="111">
        <v>7</v>
      </c>
      <c r="K22" s="111">
        <v>2</v>
      </c>
      <c r="L22" s="107">
        <v>3578.95</v>
      </c>
      <c r="M22" s="110">
        <v>829</v>
      </c>
      <c r="N22" s="112">
        <v>45191</v>
      </c>
      <c r="O22" s="113" t="s">
        <v>30</v>
      </c>
      <c r="P22" s="116"/>
    </row>
    <row r="23" spans="1:16" s="118" customFormat="1" ht="24.6" customHeight="1" x14ac:dyDescent="0.2">
      <c r="A23" s="31">
        <v>21</v>
      </c>
      <c r="B23" s="117">
        <v>11</v>
      </c>
      <c r="C23" s="106" t="s">
        <v>263</v>
      </c>
      <c r="D23" s="107">
        <v>935.32</v>
      </c>
      <c r="E23" s="108">
        <v>6025.02</v>
      </c>
      <c r="F23" s="109">
        <f>(D23-E23)/E23</f>
        <v>-0.84476068129234427</v>
      </c>
      <c r="G23" s="110">
        <v>119</v>
      </c>
      <c r="H23" s="111">
        <v>4</v>
      </c>
      <c r="I23" s="111">
        <f>G23/H23</f>
        <v>29.75</v>
      </c>
      <c r="J23" s="111">
        <v>2</v>
      </c>
      <c r="K23" s="111">
        <v>2</v>
      </c>
      <c r="L23" s="107">
        <v>9760.7199999999993</v>
      </c>
      <c r="M23" s="110">
        <v>1609</v>
      </c>
      <c r="N23" s="112">
        <v>45191</v>
      </c>
      <c r="O23" s="113" t="s">
        <v>219</v>
      </c>
      <c r="P23" s="116"/>
    </row>
    <row r="24" spans="1:16" s="118" customFormat="1" ht="24.6" customHeight="1" x14ac:dyDescent="0.2">
      <c r="A24" s="31">
        <v>22</v>
      </c>
      <c r="B24" s="117">
        <v>15</v>
      </c>
      <c r="C24" s="106" t="s">
        <v>243</v>
      </c>
      <c r="D24" s="107">
        <v>715</v>
      </c>
      <c r="E24" s="108">
        <v>1895</v>
      </c>
      <c r="F24" s="109">
        <f>(D24-E24)/E24</f>
        <v>-0.62269129287598945</v>
      </c>
      <c r="G24" s="110">
        <v>150</v>
      </c>
      <c r="H24" s="111" t="s">
        <v>17</v>
      </c>
      <c r="I24" s="111" t="s">
        <v>17</v>
      </c>
      <c r="J24" s="111">
        <v>1</v>
      </c>
      <c r="K24" s="111">
        <v>5</v>
      </c>
      <c r="L24" s="107">
        <v>40048</v>
      </c>
      <c r="M24" s="110">
        <v>8290</v>
      </c>
      <c r="N24" s="112">
        <v>45170</v>
      </c>
      <c r="O24" s="113" t="s">
        <v>28</v>
      </c>
      <c r="P24" s="116"/>
    </row>
    <row r="25" spans="1:16" s="118" customFormat="1" ht="24.6" customHeight="1" x14ac:dyDescent="0.2">
      <c r="A25" s="31">
        <v>23</v>
      </c>
      <c r="B25" s="117">
        <v>23</v>
      </c>
      <c r="C25" s="106" t="s">
        <v>232</v>
      </c>
      <c r="D25" s="107">
        <v>485.4</v>
      </c>
      <c r="E25" s="108">
        <v>201.9</v>
      </c>
      <c r="F25" s="109">
        <f>(D25-E25)/E25</f>
        <v>1.4041604754829122</v>
      </c>
      <c r="G25" s="110">
        <v>77</v>
      </c>
      <c r="H25" s="111">
        <v>3</v>
      </c>
      <c r="I25" s="111">
        <f>G25/H25</f>
        <v>25.666666666666668</v>
      </c>
      <c r="J25" s="111">
        <v>2</v>
      </c>
      <c r="K25" s="111">
        <v>7</v>
      </c>
      <c r="L25" s="107">
        <v>7146.8</v>
      </c>
      <c r="M25" s="110">
        <v>1132</v>
      </c>
      <c r="N25" s="112">
        <v>45156</v>
      </c>
      <c r="O25" s="113" t="s">
        <v>30</v>
      </c>
      <c r="P25" s="116"/>
    </row>
    <row r="26" spans="1:16" s="43" customFormat="1" ht="24.6" customHeight="1" x14ac:dyDescent="0.2">
      <c r="A26" s="31">
        <v>24</v>
      </c>
      <c r="B26" s="117">
        <v>17</v>
      </c>
      <c r="C26" s="106" t="s">
        <v>233</v>
      </c>
      <c r="D26" s="107">
        <v>461</v>
      </c>
      <c r="E26" s="108">
        <v>1446</v>
      </c>
      <c r="F26" s="109">
        <f>(D26-E26)/E26</f>
        <v>-0.68118948824343017</v>
      </c>
      <c r="G26" s="110">
        <v>66</v>
      </c>
      <c r="H26" s="111" t="s">
        <v>17</v>
      </c>
      <c r="I26" s="111" t="s">
        <v>17</v>
      </c>
      <c r="J26" s="111">
        <v>1</v>
      </c>
      <c r="K26" s="111">
        <v>6</v>
      </c>
      <c r="L26" s="107">
        <v>68064</v>
      </c>
      <c r="M26" s="110">
        <v>10613</v>
      </c>
      <c r="N26" s="112">
        <v>45163</v>
      </c>
      <c r="O26" s="113" t="s">
        <v>28</v>
      </c>
      <c r="P26" s="116"/>
    </row>
    <row r="27" spans="1:16" s="43" customFormat="1" ht="24.6" customHeight="1" x14ac:dyDescent="0.2">
      <c r="A27" s="31">
        <v>25</v>
      </c>
      <c r="B27" s="117">
        <v>20</v>
      </c>
      <c r="C27" s="106" t="s">
        <v>251</v>
      </c>
      <c r="D27" s="107">
        <v>362</v>
      </c>
      <c r="E27" s="108">
        <v>668</v>
      </c>
      <c r="F27" s="109">
        <f>(D27-E27)/E27</f>
        <v>-0.45808383233532934</v>
      </c>
      <c r="G27" s="110">
        <v>63</v>
      </c>
      <c r="H27" s="109" t="s">
        <v>17</v>
      </c>
      <c r="I27" s="109" t="s">
        <v>17</v>
      </c>
      <c r="J27" s="111">
        <v>2</v>
      </c>
      <c r="K27" s="111">
        <v>4</v>
      </c>
      <c r="L27" s="107">
        <v>8845</v>
      </c>
      <c r="M27" s="110">
        <v>1595</v>
      </c>
      <c r="N27" s="112">
        <v>45177</v>
      </c>
      <c r="O27" s="113" t="s">
        <v>28</v>
      </c>
      <c r="P27" s="116"/>
    </row>
    <row r="28" spans="1:16" s="118" customFormat="1" ht="24.6" customHeight="1" x14ac:dyDescent="0.2">
      <c r="A28" s="31">
        <v>26</v>
      </c>
      <c r="B28" s="117">
        <v>19</v>
      </c>
      <c r="C28" s="106" t="s">
        <v>244</v>
      </c>
      <c r="D28" s="107">
        <v>283</v>
      </c>
      <c r="E28" s="108">
        <v>774</v>
      </c>
      <c r="F28" s="109">
        <f>(D28-E28)/E28</f>
        <v>-0.63436692506459946</v>
      </c>
      <c r="G28" s="110">
        <v>37</v>
      </c>
      <c r="H28" s="111" t="s">
        <v>17</v>
      </c>
      <c r="I28" s="111" t="s">
        <v>17</v>
      </c>
      <c r="J28" s="111">
        <v>2</v>
      </c>
      <c r="K28" s="111">
        <v>5</v>
      </c>
      <c r="L28" s="107">
        <v>23276</v>
      </c>
      <c r="M28" s="110">
        <v>3482</v>
      </c>
      <c r="N28" s="112">
        <v>45170</v>
      </c>
      <c r="O28" s="113" t="s">
        <v>28</v>
      </c>
      <c r="P28" s="116"/>
    </row>
    <row r="29" spans="1:16" s="43" customFormat="1" ht="24.6" customHeight="1" x14ac:dyDescent="0.2">
      <c r="A29" s="31">
        <v>27</v>
      </c>
      <c r="B29" s="117">
        <v>25</v>
      </c>
      <c r="C29" s="106" t="s">
        <v>115</v>
      </c>
      <c r="D29" s="107">
        <v>246</v>
      </c>
      <c r="E29" s="108">
        <v>147</v>
      </c>
      <c r="F29" s="109">
        <f>(D29-E29)/E29</f>
        <v>0.67346938775510201</v>
      </c>
      <c r="G29" s="110">
        <v>43</v>
      </c>
      <c r="H29" s="111">
        <v>1</v>
      </c>
      <c r="I29" s="111">
        <v>91</v>
      </c>
      <c r="J29" s="111">
        <v>1</v>
      </c>
      <c r="K29" s="109" t="s">
        <v>17</v>
      </c>
      <c r="L29" s="107">
        <v>10062.4</v>
      </c>
      <c r="M29" s="110">
        <v>1757</v>
      </c>
      <c r="N29" s="112">
        <v>45065</v>
      </c>
      <c r="O29" s="113" t="s">
        <v>49</v>
      </c>
      <c r="P29" s="116"/>
    </row>
    <row r="30" spans="1:16" s="43" customFormat="1" ht="24.6" customHeight="1" x14ac:dyDescent="0.2">
      <c r="A30" s="31">
        <v>28</v>
      </c>
      <c r="B30" s="35" t="s">
        <v>17</v>
      </c>
      <c r="C30" s="106" t="s">
        <v>223</v>
      </c>
      <c r="D30" s="107">
        <v>102</v>
      </c>
      <c r="E30" s="34" t="s">
        <v>17</v>
      </c>
      <c r="F30" s="34" t="s">
        <v>17</v>
      </c>
      <c r="G30" s="110">
        <v>18</v>
      </c>
      <c r="H30" s="111">
        <v>1</v>
      </c>
      <c r="I30" s="111">
        <f>G30/H30</f>
        <v>18</v>
      </c>
      <c r="J30" s="111">
        <v>1</v>
      </c>
      <c r="K30" s="34" t="s">
        <v>17</v>
      </c>
      <c r="L30" s="107">
        <v>2262.1</v>
      </c>
      <c r="M30" s="110">
        <v>419</v>
      </c>
      <c r="N30" s="112">
        <v>45156</v>
      </c>
      <c r="O30" s="113" t="s">
        <v>73</v>
      </c>
      <c r="P30" s="89"/>
    </row>
    <row r="31" spans="1:16" s="43" customFormat="1" ht="24.6" customHeight="1" x14ac:dyDescent="0.2">
      <c r="A31" s="31">
        <v>29</v>
      </c>
      <c r="B31" s="117">
        <v>24</v>
      </c>
      <c r="C31" s="106" t="s">
        <v>130</v>
      </c>
      <c r="D31" s="107">
        <v>94.3</v>
      </c>
      <c r="E31" s="108">
        <v>170.7</v>
      </c>
      <c r="F31" s="109">
        <f>(D31-E31)/E31</f>
        <v>-0.44756883421206795</v>
      </c>
      <c r="G31" s="110">
        <v>13</v>
      </c>
      <c r="H31" s="111">
        <v>1</v>
      </c>
      <c r="I31" s="111">
        <f>G31/H31</f>
        <v>13</v>
      </c>
      <c r="J31" s="111">
        <v>1</v>
      </c>
      <c r="K31" s="109" t="s">
        <v>17</v>
      </c>
      <c r="L31" s="107">
        <v>10595.100000000002</v>
      </c>
      <c r="M31" s="110">
        <v>1615</v>
      </c>
      <c r="N31" s="112">
        <v>45079</v>
      </c>
      <c r="O31" s="113" t="s">
        <v>33</v>
      </c>
      <c r="P31" s="116"/>
    </row>
    <row r="32" spans="1:16" s="43" customFormat="1" ht="24.6" customHeight="1" x14ac:dyDescent="0.2">
      <c r="A32" s="31">
        <v>30</v>
      </c>
      <c r="B32" s="108" t="s">
        <v>17</v>
      </c>
      <c r="C32" s="106" t="s">
        <v>184</v>
      </c>
      <c r="D32" s="107">
        <v>48</v>
      </c>
      <c r="E32" s="108" t="s">
        <v>17</v>
      </c>
      <c r="F32" s="109" t="s">
        <v>17</v>
      </c>
      <c r="G32" s="110">
        <v>12</v>
      </c>
      <c r="H32" s="111">
        <v>1</v>
      </c>
      <c r="I32" s="111">
        <f>G32/H32</f>
        <v>12</v>
      </c>
      <c r="J32" s="111">
        <v>1</v>
      </c>
      <c r="K32" s="34" t="s">
        <v>17</v>
      </c>
      <c r="L32" s="107">
        <v>205636.61</v>
      </c>
      <c r="M32" s="110">
        <v>41780</v>
      </c>
      <c r="N32" s="112">
        <v>45121</v>
      </c>
      <c r="O32" s="113" t="s">
        <v>25</v>
      </c>
      <c r="P32" s="89"/>
    </row>
    <row r="33" spans="1:16383" s="43" customFormat="1" ht="24.6" customHeight="1" x14ac:dyDescent="0.2">
      <c r="A33" s="31">
        <v>31</v>
      </c>
      <c r="B33" s="34" t="s">
        <v>17</v>
      </c>
      <c r="C33" s="106" t="s">
        <v>16</v>
      </c>
      <c r="D33" s="107">
        <v>30</v>
      </c>
      <c r="E33" s="109" t="s">
        <v>17</v>
      </c>
      <c r="F33" s="109" t="s">
        <v>17</v>
      </c>
      <c r="G33" s="110">
        <v>10</v>
      </c>
      <c r="H33" s="111">
        <v>1</v>
      </c>
      <c r="I33" s="111">
        <f>G33/H33</f>
        <v>10</v>
      </c>
      <c r="J33" s="111">
        <v>1</v>
      </c>
      <c r="K33" s="34" t="s">
        <v>17</v>
      </c>
      <c r="L33" s="107">
        <v>249449.61000000002</v>
      </c>
      <c r="M33" s="110">
        <v>49751</v>
      </c>
      <c r="N33" s="112">
        <v>45037</v>
      </c>
      <c r="O33" s="113" t="s">
        <v>18</v>
      </c>
      <c r="P33" s="116"/>
    </row>
    <row r="34" spans="1:16383" s="51" customFormat="1" ht="24" customHeight="1" x14ac:dyDescent="0.2">
      <c r="B34" s="78"/>
      <c r="C34" s="77" t="s">
        <v>147</v>
      </c>
      <c r="D34" s="52">
        <f>SUBTOTAL(109,Table13245678910111213141517161819202122232426[Pajamos 
(GBO)])</f>
        <v>279422.43</v>
      </c>
      <c r="E34" s="52" t="s">
        <v>272</v>
      </c>
      <c r="F34" s="81">
        <f t="shared" ref="F34" si="0">(D34-E34)/E34</f>
        <v>0.33476526449541893</v>
      </c>
      <c r="G34" s="78">
        <f>SUBTOTAL(109,Table13245678910111213141517161819202122232426[Žiūrovų sk. 
(ADM)])</f>
        <v>42670</v>
      </c>
      <c r="H34" s="70"/>
      <c r="I34" s="70"/>
      <c r="J34" s="70"/>
      <c r="K34" s="70"/>
      <c r="L34" s="52"/>
      <c r="M34" s="78"/>
      <c r="N34" s="53"/>
      <c r="O34" s="79" t="s">
        <v>56</v>
      </c>
      <c r="P34" s="85"/>
    </row>
    <row r="35" spans="1:16383" ht="11.25" hidden="1" x14ac:dyDescent="0.15">
      <c r="F35" s="4"/>
      <c r="L35" s="3"/>
    </row>
    <row r="36" spans="1:16383" ht="11.25" hidden="1" x14ac:dyDescent="0.15">
      <c r="F36" s="4"/>
      <c r="L36" s="3"/>
    </row>
    <row r="37" spans="1:16383" ht="11.25" hidden="1" x14ac:dyDescent="0.15">
      <c r="F37" s="4"/>
      <c r="L37" s="3"/>
    </row>
    <row r="38" spans="1:16383" ht="11.25" hidden="1" x14ac:dyDescent="0.15">
      <c r="F38" s="4"/>
      <c r="L38" s="3"/>
    </row>
    <row r="39" spans="1:16383" ht="11.25" hidden="1" x14ac:dyDescent="0.15">
      <c r="F39" s="4"/>
      <c r="L39" s="3"/>
    </row>
    <row r="40" spans="1:16383" ht="11.25" hidden="1" x14ac:dyDescent="0.15">
      <c r="F40" s="4"/>
      <c r="L40" s="3"/>
    </row>
    <row r="41" spans="1:16383" ht="11.25" hidden="1" x14ac:dyDescent="0.15">
      <c r="F41" s="4"/>
      <c r="L41" s="3"/>
    </row>
    <row r="42" spans="1:16383" ht="11.25" hidden="1" x14ac:dyDescent="0.15">
      <c r="F42" s="4"/>
      <c r="L42" s="3"/>
    </row>
    <row r="43" spans="1:16383" ht="11.25" hidden="1" x14ac:dyDescent="0.15">
      <c r="F43" s="4"/>
      <c r="L43" s="3"/>
    </row>
    <row r="44" spans="1:16383" ht="11.25" hidden="1" x14ac:dyDescent="0.15">
      <c r="F44" s="4"/>
      <c r="L44" s="3"/>
    </row>
    <row r="45" spans="1:16383" ht="11.25" hidden="1" x14ac:dyDescent="0.15">
      <c r="F45" s="4"/>
      <c r="L45" s="3"/>
    </row>
    <row r="46" spans="1:16383" ht="11.25" hidden="1" x14ac:dyDescent="0.15">
      <c r="F46" s="4"/>
      <c r="L46" s="3"/>
    </row>
    <row r="47" spans="1:16383" ht="11.25" hidden="1" x14ac:dyDescent="0.15">
      <c r="F47" s="4"/>
    </row>
    <row r="48" spans="1:16383" s="44" customFormat="1" ht="11.25" hidden="1" x14ac:dyDescent="0.15">
      <c r="A48" s="1"/>
      <c r="C48" s="1"/>
      <c r="D48" s="5"/>
      <c r="E48" s="5"/>
      <c r="F48" s="4"/>
      <c r="K48" s="66"/>
      <c r="L48" s="5"/>
      <c r="N48" s="12"/>
      <c r="O48" s="6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44" customFormat="1" ht="11.25" hidden="1" x14ac:dyDescent="0.15">
      <c r="A49" s="1"/>
      <c r="C49" s="1"/>
      <c r="D49" s="5"/>
      <c r="E49" s="5"/>
      <c r="F49" s="4"/>
      <c r="K49" s="66"/>
      <c r="L49" s="5"/>
      <c r="N49" s="12"/>
      <c r="O49" s="6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44" customFormat="1" ht="11.25" hidden="1" x14ac:dyDescent="0.15">
      <c r="A50" s="1"/>
      <c r="C50" s="1"/>
      <c r="D50" s="5"/>
      <c r="E50" s="5"/>
      <c r="F50" s="4"/>
      <c r="K50" s="66"/>
      <c r="L50" s="5"/>
      <c r="N50" s="12"/>
      <c r="O50" s="6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ht="11.25" hidden="1" x14ac:dyDescent="0.15"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6383" ht="11.25" hidden="1" x14ac:dyDescent="0.15"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6383" ht="11.25" hidden="1" x14ac:dyDescent="0.15"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6383" ht="11.25" hidden="1" x14ac:dyDescent="0.15"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6383" ht="11.25" hidden="1" x14ac:dyDescent="0.15"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6383" ht="11.25" hidden="1" x14ac:dyDescent="0.15"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6383" ht="11.25" hidden="1" x14ac:dyDescent="0.15"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6383" ht="11.25" hidden="1" x14ac:dyDescent="0.15"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6383" ht="11.25" hidden="1" x14ac:dyDescent="0.15"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6383" ht="11.25" hidden="1" x14ac:dyDescent="0.15"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6383" ht="11.25" hidden="1" x14ac:dyDescent="0.15"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6383" ht="0" hidden="1" customHeight="1" x14ac:dyDescent="0.15"/>
    <row r="63" spans="1:16383" ht="0" hidden="1" customHeight="1" x14ac:dyDescent="0.15"/>
    <row r="64" spans="1:16383" ht="0" hidden="1" customHeight="1" x14ac:dyDescent="0.15"/>
    <row r="65" ht="0" hidden="1" customHeight="1" x14ac:dyDescent="0.15"/>
    <row r="66" ht="0" hidden="1" customHeight="1" x14ac:dyDescent="0.15"/>
    <row r="67" ht="0" hidden="1" customHeight="1" x14ac:dyDescent="0.15"/>
    <row r="68" ht="0" hidden="1" customHeight="1" x14ac:dyDescent="0.15"/>
    <row r="69" ht="0" hidden="1" customHeight="1" x14ac:dyDescent="0.15"/>
    <row r="70" ht="0" hidden="1" customHeight="1" x14ac:dyDescent="0.15"/>
    <row r="71" ht="0" hidden="1" customHeight="1" x14ac:dyDescent="0.15"/>
    <row r="72" ht="0" hidden="1" customHeight="1" x14ac:dyDescent="0.15"/>
    <row r="73" ht="0" hidden="1" customHeight="1" x14ac:dyDescent="0.15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3DD92-CC55-41DF-A54B-35BEEE95CB30}">
  <dimension ref="A1:XFC52"/>
  <sheetViews>
    <sheetView topLeftCell="A2" zoomScale="60" zoomScaleNormal="60" workbookViewId="0">
      <selection activeCell="C14" sqref="C14:O14"/>
    </sheetView>
  </sheetViews>
  <sheetFormatPr defaultColWidth="18.28515625" defaultRowHeight="11.25" zeroHeight="1" x14ac:dyDescent="0.15"/>
  <cols>
    <col min="1" max="1" width="4.7109375" style="1" customWidth="1"/>
    <col min="2" max="2" width="4.7109375" style="44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199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5">
        <v>2</v>
      </c>
      <c r="C3" s="32" t="s">
        <v>193</v>
      </c>
      <c r="D3" s="96">
        <v>147512.68</v>
      </c>
      <c r="E3" s="96">
        <v>151940.63</v>
      </c>
      <c r="F3" s="34">
        <f>(D3-E3)/E3</f>
        <v>-2.9142632882330495E-2</v>
      </c>
      <c r="G3" s="93">
        <v>18945</v>
      </c>
      <c r="H3" s="92">
        <v>153</v>
      </c>
      <c r="I3" s="92">
        <f t="shared" ref="I3:I10" si="0">G3/H3</f>
        <v>123.82352941176471</v>
      </c>
      <c r="J3" s="92">
        <v>17</v>
      </c>
      <c r="K3" s="92">
        <v>2</v>
      </c>
      <c r="L3" s="96">
        <v>436667</v>
      </c>
      <c r="M3" s="93">
        <v>62165</v>
      </c>
      <c r="N3" s="37">
        <v>45128</v>
      </c>
      <c r="O3" s="59" t="s">
        <v>160</v>
      </c>
      <c r="P3" s="87"/>
    </row>
    <row r="4" spans="1:18" s="39" customFormat="1" ht="24.6" customHeight="1" x14ac:dyDescent="0.2">
      <c r="A4" s="31">
        <v>2</v>
      </c>
      <c r="B4" s="35">
        <v>1</v>
      </c>
      <c r="C4" s="32" t="s">
        <v>189</v>
      </c>
      <c r="D4" s="96">
        <v>132198.19</v>
      </c>
      <c r="E4" s="96">
        <v>217564.12</v>
      </c>
      <c r="F4" s="34">
        <f>(D4-E4)/E4</f>
        <v>-0.39237136160135228</v>
      </c>
      <c r="G4" s="93">
        <v>19070</v>
      </c>
      <c r="H4" s="92">
        <v>170</v>
      </c>
      <c r="I4" s="92">
        <f t="shared" si="0"/>
        <v>112.17647058823529</v>
      </c>
      <c r="J4" s="92">
        <v>16</v>
      </c>
      <c r="K4" s="92">
        <v>2</v>
      </c>
      <c r="L4" s="96">
        <v>599983.87</v>
      </c>
      <c r="M4" s="93">
        <v>87307</v>
      </c>
      <c r="N4" s="37">
        <v>45128</v>
      </c>
      <c r="O4" s="59" t="s">
        <v>21</v>
      </c>
      <c r="P4" s="87"/>
    </row>
    <row r="5" spans="1:18" s="39" customFormat="1" ht="24.6" customHeight="1" x14ac:dyDescent="0.2">
      <c r="A5" s="31">
        <v>3</v>
      </c>
      <c r="B5" s="35">
        <v>5</v>
      </c>
      <c r="C5" s="32" t="s">
        <v>154</v>
      </c>
      <c r="D5" s="96">
        <v>16853.95</v>
      </c>
      <c r="E5" s="96">
        <v>17582.580000000002</v>
      </c>
      <c r="F5" s="34">
        <f>(D5-E5)/E5</f>
        <v>-4.1440448443857553E-2</v>
      </c>
      <c r="G5" s="93">
        <v>3122</v>
      </c>
      <c r="H5" s="92">
        <v>54</v>
      </c>
      <c r="I5" s="92">
        <f t="shared" si="0"/>
        <v>57.814814814814817</v>
      </c>
      <c r="J5" s="92">
        <v>11</v>
      </c>
      <c r="K5" s="92">
        <v>7</v>
      </c>
      <c r="L5" s="96">
        <v>376105</v>
      </c>
      <c r="M5" s="93">
        <v>74021</v>
      </c>
      <c r="N5" s="37">
        <v>45093</v>
      </c>
      <c r="O5" s="59" t="s">
        <v>49</v>
      </c>
      <c r="P5" s="86"/>
      <c r="R5" s="31"/>
    </row>
    <row r="6" spans="1:18" s="39" customFormat="1" ht="24.95" customHeight="1" x14ac:dyDescent="0.2">
      <c r="A6" s="31">
        <v>4</v>
      </c>
      <c r="B6" s="35">
        <v>3</v>
      </c>
      <c r="C6" s="14" t="s">
        <v>184</v>
      </c>
      <c r="D6" s="96">
        <v>14069.29</v>
      </c>
      <c r="E6" s="96">
        <v>33156.47</v>
      </c>
      <c r="F6" s="34">
        <f>(D6-E6)/E6</f>
        <v>-0.57566984663928333</v>
      </c>
      <c r="G6" s="93">
        <v>2722</v>
      </c>
      <c r="H6" s="92">
        <v>88</v>
      </c>
      <c r="I6" s="92">
        <f t="shared" si="0"/>
        <v>30.931818181818183</v>
      </c>
      <c r="J6" s="92">
        <v>13</v>
      </c>
      <c r="K6" s="92">
        <v>3</v>
      </c>
      <c r="L6" s="96">
        <v>140800.13</v>
      </c>
      <c r="M6" s="93">
        <v>27813</v>
      </c>
      <c r="N6" s="37">
        <v>45121</v>
      </c>
      <c r="O6" s="59" t="s">
        <v>25</v>
      </c>
      <c r="P6" s="87"/>
      <c r="R6" s="31"/>
    </row>
    <row r="7" spans="1:18" s="39" customFormat="1" ht="24.6" customHeight="1" x14ac:dyDescent="0.2">
      <c r="A7" s="31">
        <v>5</v>
      </c>
      <c r="B7" s="35">
        <v>4</v>
      </c>
      <c r="C7" s="32" t="s">
        <v>186</v>
      </c>
      <c r="D7" s="96">
        <v>13934.74</v>
      </c>
      <c r="E7" s="96">
        <v>27460.37</v>
      </c>
      <c r="F7" s="34">
        <f>(D7-E7)/E7</f>
        <v>-0.49255090153555831</v>
      </c>
      <c r="G7" s="93">
        <v>2022</v>
      </c>
      <c r="H7" s="92">
        <v>45</v>
      </c>
      <c r="I7" s="92">
        <f t="shared" si="0"/>
        <v>44.93333333333333</v>
      </c>
      <c r="J7" s="92">
        <v>11</v>
      </c>
      <c r="K7" s="92">
        <v>3</v>
      </c>
      <c r="L7" s="96">
        <v>145959</v>
      </c>
      <c r="M7" s="93">
        <v>20935</v>
      </c>
      <c r="N7" s="37">
        <v>45121</v>
      </c>
      <c r="O7" s="59" t="s">
        <v>159</v>
      </c>
      <c r="P7" s="89"/>
      <c r="R7" s="31"/>
    </row>
    <row r="8" spans="1:18" s="39" customFormat="1" ht="24.95" customHeight="1" x14ac:dyDescent="0.2">
      <c r="A8" s="31">
        <v>6</v>
      </c>
      <c r="B8" s="35" t="s">
        <v>15</v>
      </c>
      <c r="C8" s="32" t="s">
        <v>200</v>
      </c>
      <c r="D8" s="96">
        <v>11969.94</v>
      </c>
      <c r="E8" s="96" t="s">
        <v>17</v>
      </c>
      <c r="F8" s="34" t="s">
        <v>17</v>
      </c>
      <c r="G8" s="93">
        <v>1697</v>
      </c>
      <c r="H8" s="92">
        <v>59</v>
      </c>
      <c r="I8" s="92">
        <f t="shared" si="0"/>
        <v>28.762711864406779</v>
      </c>
      <c r="J8" s="92">
        <v>12</v>
      </c>
      <c r="K8" s="92">
        <v>1</v>
      </c>
      <c r="L8" s="96">
        <v>13567.28</v>
      </c>
      <c r="M8" s="93">
        <v>1950</v>
      </c>
      <c r="N8" s="37">
        <v>45135</v>
      </c>
      <c r="O8" s="59" t="s">
        <v>25</v>
      </c>
      <c r="P8" s="87"/>
      <c r="R8" s="31"/>
    </row>
    <row r="9" spans="1:18" s="39" customFormat="1" ht="24.95" customHeight="1" x14ac:dyDescent="0.2">
      <c r="A9" s="31">
        <v>7</v>
      </c>
      <c r="B9" s="35" t="s">
        <v>15</v>
      </c>
      <c r="C9" s="32" t="s">
        <v>202</v>
      </c>
      <c r="D9" s="96">
        <v>10020.950000000001</v>
      </c>
      <c r="E9" s="96" t="s">
        <v>17</v>
      </c>
      <c r="F9" s="34" t="s">
        <v>17</v>
      </c>
      <c r="G9" s="93">
        <v>1573</v>
      </c>
      <c r="H9" s="92">
        <v>68</v>
      </c>
      <c r="I9" s="92">
        <f t="shared" si="0"/>
        <v>23.132352941176471</v>
      </c>
      <c r="J9" s="92">
        <v>13</v>
      </c>
      <c r="K9" s="92">
        <v>1</v>
      </c>
      <c r="L9" s="96">
        <v>10221</v>
      </c>
      <c r="M9" s="93">
        <v>1606</v>
      </c>
      <c r="N9" s="37">
        <v>45135</v>
      </c>
      <c r="O9" s="59" t="s">
        <v>49</v>
      </c>
      <c r="P9" s="87"/>
      <c r="R9" s="31"/>
    </row>
    <row r="10" spans="1:18" s="39" customFormat="1" ht="24.95" customHeight="1" x14ac:dyDescent="0.2">
      <c r="A10" s="31">
        <v>8</v>
      </c>
      <c r="B10" s="35">
        <v>7</v>
      </c>
      <c r="C10" s="32" t="s">
        <v>180</v>
      </c>
      <c r="D10" s="96">
        <v>9007.57</v>
      </c>
      <c r="E10" s="96">
        <v>20519.68</v>
      </c>
      <c r="F10" s="34">
        <f>(D10-E10)/E10</f>
        <v>-0.56102775481878864</v>
      </c>
      <c r="G10" s="93">
        <v>1221</v>
      </c>
      <c r="H10" s="92">
        <v>26</v>
      </c>
      <c r="I10" s="92">
        <f t="shared" si="0"/>
        <v>46.96153846153846</v>
      </c>
      <c r="J10" s="92">
        <v>7</v>
      </c>
      <c r="K10" s="92">
        <v>4</v>
      </c>
      <c r="L10" s="96">
        <v>187258.96</v>
      </c>
      <c r="M10" s="93">
        <v>26344</v>
      </c>
      <c r="N10" s="37">
        <v>45114</v>
      </c>
      <c r="O10" s="59" t="s">
        <v>23</v>
      </c>
      <c r="P10" s="86"/>
      <c r="R10" s="31"/>
    </row>
    <row r="11" spans="1:18" s="39" customFormat="1" ht="24.95" customHeight="1" x14ac:dyDescent="0.2">
      <c r="A11" s="31">
        <v>9</v>
      </c>
      <c r="B11" s="35">
        <v>6</v>
      </c>
      <c r="C11" s="32" t="s">
        <v>197</v>
      </c>
      <c r="D11" s="96">
        <v>7486</v>
      </c>
      <c r="E11" s="96">
        <v>14656</v>
      </c>
      <c r="F11" s="34">
        <f>(D11-E11)/E11</f>
        <v>-0.48921943231441051</v>
      </c>
      <c r="G11" s="93">
        <v>1525</v>
      </c>
      <c r="H11" s="92" t="s">
        <v>17</v>
      </c>
      <c r="I11" s="92" t="s">
        <v>17</v>
      </c>
      <c r="J11" s="92">
        <v>13</v>
      </c>
      <c r="K11" s="92">
        <v>2</v>
      </c>
      <c r="L11" s="96">
        <v>33727</v>
      </c>
      <c r="M11" s="93">
        <v>7169</v>
      </c>
      <c r="N11" s="37">
        <v>45128</v>
      </c>
      <c r="O11" s="59" t="s">
        <v>28</v>
      </c>
      <c r="P11" s="87"/>
      <c r="R11" s="31"/>
    </row>
    <row r="12" spans="1:18" s="39" customFormat="1" ht="24.95" customHeight="1" x14ac:dyDescent="0.2">
      <c r="A12" s="31">
        <v>10</v>
      </c>
      <c r="B12" s="35">
        <v>8</v>
      </c>
      <c r="C12" s="32" t="s">
        <v>175</v>
      </c>
      <c r="D12" s="96">
        <v>2870.52</v>
      </c>
      <c r="E12" s="96">
        <v>6043.83</v>
      </c>
      <c r="F12" s="34">
        <f>(D12-E12)/E12</f>
        <v>-0.52504951330530469</v>
      </c>
      <c r="G12" s="93">
        <v>597</v>
      </c>
      <c r="H12" s="92">
        <v>23</v>
      </c>
      <c r="I12" s="92">
        <f t="shared" ref="I12:I24" si="1">G12/H12</f>
        <v>25.956521739130434</v>
      </c>
      <c r="J12" s="92">
        <v>7</v>
      </c>
      <c r="K12" s="92">
        <v>5</v>
      </c>
      <c r="L12" s="96">
        <v>87657</v>
      </c>
      <c r="M12" s="93">
        <v>18695</v>
      </c>
      <c r="N12" s="37">
        <v>45107</v>
      </c>
      <c r="O12" s="59" t="s">
        <v>160</v>
      </c>
      <c r="P12" s="86"/>
      <c r="R12" s="31"/>
    </row>
    <row r="13" spans="1:18" s="43" customFormat="1" ht="24" customHeight="1" x14ac:dyDescent="0.2">
      <c r="A13" s="31">
        <v>11</v>
      </c>
      <c r="B13" s="35" t="s">
        <v>15</v>
      </c>
      <c r="C13" s="32" t="s">
        <v>204</v>
      </c>
      <c r="D13" s="96">
        <v>1810.56</v>
      </c>
      <c r="E13" s="96" t="s">
        <v>17</v>
      </c>
      <c r="F13" s="34" t="s">
        <v>17</v>
      </c>
      <c r="G13" s="93">
        <v>376</v>
      </c>
      <c r="H13" s="92">
        <v>48</v>
      </c>
      <c r="I13" s="92">
        <f t="shared" si="1"/>
        <v>7.833333333333333</v>
      </c>
      <c r="J13" s="92">
        <v>10</v>
      </c>
      <c r="K13" s="92">
        <v>1</v>
      </c>
      <c r="L13" s="96">
        <v>1810.56</v>
      </c>
      <c r="M13" s="93">
        <v>376</v>
      </c>
      <c r="N13" s="37">
        <v>45135</v>
      </c>
      <c r="O13" s="31" t="s">
        <v>53</v>
      </c>
      <c r="P13" s="87"/>
    </row>
    <row r="14" spans="1:18" s="43" customFormat="1" ht="24.6" customHeight="1" x14ac:dyDescent="0.2">
      <c r="A14" s="31">
        <v>12</v>
      </c>
      <c r="B14" s="35" t="s">
        <v>15</v>
      </c>
      <c r="C14" s="32" t="s">
        <v>201</v>
      </c>
      <c r="D14" s="96">
        <v>1415.07</v>
      </c>
      <c r="E14" s="96" t="s">
        <v>17</v>
      </c>
      <c r="F14" s="34" t="s">
        <v>17</v>
      </c>
      <c r="G14" s="93">
        <v>232</v>
      </c>
      <c r="H14" s="92">
        <v>23</v>
      </c>
      <c r="I14" s="92">
        <f t="shared" si="1"/>
        <v>10.086956521739131</v>
      </c>
      <c r="J14" s="92">
        <v>7</v>
      </c>
      <c r="K14" s="92">
        <v>1</v>
      </c>
      <c r="L14" s="96">
        <v>1415.07</v>
      </c>
      <c r="M14" s="93">
        <v>232</v>
      </c>
      <c r="N14" s="37">
        <v>45135</v>
      </c>
      <c r="O14" s="59" t="s">
        <v>89</v>
      </c>
      <c r="P14" s="87"/>
    </row>
    <row r="15" spans="1:18" ht="24.6" customHeight="1" x14ac:dyDescent="0.15">
      <c r="A15" s="31">
        <v>13</v>
      </c>
      <c r="B15" s="35">
        <v>9</v>
      </c>
      <c r="C15" s="32" t="s">
        <v>174</v>
      </c>
      <c r="D15" s="96">
        <v>623.32000000000005</v>
      </c>
      <c r="E15" s="96">
        <v>4959.55</v>
      </c>
      <c r="F15" s="34">
        <f>(D15-E15)/E15</f>
        <v>-0.87431924267322647</v>
      </c>
      <c r="G15" s="93">
        <v>86</v>
      </c>
      <c r="H15" s="92">
        <v>3</v>
      </c>
      <c r="I15" s="92">
        <f t="shared" si="1"/>
        <v>28.666666666666668</v>
      </c>
      <c r="J15" s="92">
        <v>2</v>
      </c>
      <c r="K15" s="92">
        <v>5</v>
      </c>
      <c r="L15" s="96">
        <v>112646</v>
      </c>
      <c r="M15" s="93">
        <v>16624</v>
      </c>
      <c r="N15" s="37">
        <v>45107</v>
      </c>
      <c r="O15" s="59" t="s">
        <v>49</v>
      </c>
      <c r="P15" s="86"/>
    </row>
    <row r="16" spans="1:18" s="43" customFormat="1" ht="24" customHeight="1" x14ac:dyDescent="0.15">
      <c r="A16" s="31">
        <v>14</v>
      </c>
      <c r="B16" s="35">
        <v>14</v>
      </c>
      <c r="C16" s="32" t="s">
        <v>136</v>
      </c>
      <c r="D16" s="96">
        <v>381.68</v>
      </c>
      <c r="E16" s="96">
        <v>1194.53</v>
      </c>
      <c r="F16" s="34">
        <f>(D16-E16)/E16</f>
        <v>-0.6804768402635345</v>
      </c>
      <c r="G16" s="93">
        <v>69</v>
      </c>
      <c r="H16" s="92">
        <v>2</v>
      </c>
      <c r="I16" s="92">
        <f t="shared" si="1"/>
        <v>34.5</v>
      </c>
      <c r="J16" s="92">
        <v>1</v>
      </c>
      <c r="K16" s="92">
        <v>9</v>
      </c>
      <c r="L16" s="96">
        <v>77886</v>
      </c>
      <c r="M16" s="93">
        <v>12532</v>
      </c>
      <c r="N16" s="37">
        <v>45079</v>
      </c>
      <c r="O16" s="59" t="s">
        <v>49</v>
      </c>
      <c r="P16" s="86"/>
    </row>
    <row r="17" spans="1:16" s="43" customFormat="1" ht="24.6" customHeight="1" x14ac:dyDescent="0.2">
      <c r="A17" s="31">
        <v>15</v>
      </c>
      <c r="B17" s="35" t="s">
        <v>17</v>
      </c>
      <c r="C17" s="32" t="s">
        <v>163</v>
      </c>
      <c r="D17" s="96">
        <v>379.5</v>
      </c>
      <c r="E17" s="96" t="s">
        <v>17</v>
      </c>
      <c r="F17" s="34" t="s">
        <v>17</v>
      </c>
      <c r="G17" s="93">
        <v>55</v>
      </c>
      <c r="H17" s="92">
        <v>1</v>
      </c>
      <c r="I17" s="92">
        <f t="shared" si="1"/>
        <v>55</v>
      </c>
      <c r="J17" s="92">
        <v>1</v>
      </c>
      <c r="K17" s="92" t="s">
        <v>17</v>
      </c>
      <c r="L17" s="96">
        <v>45205.94</v>
      </c>
      <c r="M17" s="93">
        <v>7376</v>
      </c>
      <c r="N17" s="37">
        <v>44932</v>
      </c>
      <c r="O17" s="59" t="s">
        <v>33</v>
      </c>
      <c r="P17" s="87"/>
    </row>
    <row r="18" spans="1:16" s="43" customFormat="1" ht="24.6" customHeight="1" x14ac:dyDescent="0.2">
      <c r="A18" s="31">
        <v>16</v>
      </c>
      <c r="B18" s="35">
        <v>12</v>
      </c>
      <c r="C18" s="32" t="s">
        <v>196</v>
      </c>
      <c r="D18" s="96">
        <v>322</v>
      </c>
      <c r="E18" s="96">
        <v>458.08</v>
      </c>
      <c r="F18" s="34">
        <f t="shared" ref="F18:F24" si="2">(D18-E18)/E18</f>
        <v>-0.2970660146699266</v>
      </c>
      <c r="G18" s="93">
        <v>129</v>
      </c>
      <c r="H18" s="92">
        <v>6</v>
      </c>
      <c r="I18" s="92">
        <f t="shared" si="1"/>
        <v>21.5</v>
      </c>
      <c r="J18" s="92">
        <v>2</v>
      </c>
      <c r="K18" s="92" t="s">
        <v>17</v>
      </c>
      <c r="L18" s="96">
        <v>208689</v>
      </c>
      <c r="M18" s="93">
        <v>42704</v>
      </c>
      <c r="N18" s="37">
        <v>44638</v>
      </c>
      <c r="O18" s="59" t="s">
        <v>160</v>
      </c>
      <c r="P18" s="87"/>
    </row>
    <row r="19" spans="1:16" s="43" customFormat="1" ht="24.6" customHeight="1" x14ac:dyDescent="0.2">
      <c r="A19" s="31">
        <v>17</v>
      </c>
      <c r="B19" s="35">
        <v>33</v>
      </c>
      <c r="C19" s="32" t="s">
        <v>192</v>
      </c>
      <c r="D19" s="96">
        <v>302</v>
      </c>
      <c r="E19" s="96">
        <v>2</v>
      </c>
      <c r="F19" s="34">
        <f t="shared" si="2"/>
        <v>150</v>
      </c>
      <c r="G19" s="93">
        <v>44</v>
      </c>
      <c r="H19" s="92">
        <v>1</v>
      </c>
      <c r="I19" s="92">
        <f t="shared" si="1"/>
        <v>44</v>
      </c>
      <c r="J19" s="92">
        <v>1</v>
      </c>
      <c r="K19" s="92" t="s">
        <v>17</v>
      </c>
      <c r="L19" s="96">
        <v>22341.09</v>
      </c>
      <c r="M19" s="93">
        <v>3569</v>
      </c>
      <c r="N19" s="37">
        <v>44875</v>
      </c>
      <c r="O19" s="59" t="s">
        <v>30</v>
      </c>
      <c r="P19" s="87"/>
    </row>
    <row r="20" spans="1:16" s="43" customFormat="1" ht="24.6" customHeight="1" x14ac:dyDescent="0.2">
      <c r="A20" s="31">
        <v>18</v>
      </c>
      <c r="B20" s="35">
        <v>24</v>
      </c>
      <c r="C20" s="32" t="s">
        <v>130</v>
      </c>
      <c r="D20" s="96">
        <v>173.6</v>
      </c>
      <c r="E20" s="96">
        <v>221.58</v>
      </c>
      <c r="F20" s="34">
        <f t="shared" si="2"/>
        <v>-0.21653578842855861</v>
      </c>
      <c r="G20" s="93">
        <v>27</v>
      </c>
      <c r="H20" s="92">
        <v>3</v>
      </c>
      <c r="I20" s="92">
        <f t="shared" si="1"/>
        <v>9</v>
      </c>
      <c r="J20" s="92">
        <v>2</v>
      </c>
      <c r="K20" s="92">
        <v>9</v>
      </c>
      <c r="L20" s="96">
        <v>8784.2999999999993</v>
      </c>
      <c r="M20" s="93">
        <v>1357</v>
      </c>
      <c r="N20" s="37">
        <v>45079</v>
      </c>
      <c r="O20" s="59" t="s">
        <v>33</v>
      </c>
      <c r="P20" s="87"/>
    </row>
    <row r="21" spans="1:16" s="43" customFormat="1" ht="24.6" customHeight="1" x14ac:dyDescent="0.2">
      <c r="A21" s="31">
        <v>19</v>
      </c>
      <c r="B21" s="35">
        <v>13</v>
      </c>
      <c r="C21" s="32" t="s">
        <v>42</v>
      </c>
      <c r="D21" s="96">
        <v>173.6</v>
      </c>
      <c r="E21" s="96">
        <v>1192.0999999999999</v>
      </c>
      <c r="F21" s="34">
        <f t="shared" si="2"/>
        <v>-0.85437463300058714</v>
      </c>
      <c r="G21" s="93">
        <v>25</v>
      </c>
      <c r="H21" s="92">
        <v>4</v>
      </c>
      <c r="I21" s="92">
        <f t="shared" si="1"/>
        <v>6.25</v>
      </c>
      <c r="J21" s="92">
        <v>1</v>
      </c>
      <c r="K21" s="92">
        <v>21</v>
      </c>
      <c r="L21" s="96">
        <v>240263.53</v>
      </c>
      <c r="M21" s="93">
        <v>37651</v>
      </c>
      <c r="N21" s="37">
        <v>44988</v>
      </c>
      <c r="O21" s="59" t="s">
        <v>43</v>
      </c>
      <c r="P21" s="87"/>
    </row>
    <row r="22" spans="1:16" s="43" customFormat="1" ht="24.6" customHeight="1" x14ac:dyDescent="0.2">
      <c r="A22" s="31">
        <v>20</v>
      </c>
      <c r="B22" s="35">
        <v>18</v>
      </c>
      <c r="C22" s="32" t="s">
        <v>195</v>
      </c>
      <c r="D22" s="96">
        <v>111.2</v>
      </c>
      <c r="E22" s="96">
        <v>203.8</v>
      </c>
      <c r="F22" s="34">
        <f t="shared" si="2"/>
        <v>-0.4543670264965653</v>
      </c>
      <c r="G22" s="93">
        <v>43</v>
      </c>
      <c r="H22" s="92">
        <v>4</v>
      </c>
      <c r="I22" s="92">
        <f t="shared" si="1"/>
        <v>10.75</v>
      </c>
      <c r="J22" s="92">
        <v>2</v>
      </c>
      <c r="K22" s="92" t="s">
        <v>17</v>
      </c>
      <c r="L22" s="96">
        <v>318976</v>
      </c>
      <c r="M22" s="93">
        <v>65095</v>
      </c>
      <c r="N22" s="37">
        <v>44552</v>
      </c>
      <c r="O22" s="59" t="s">
        <v>160</v>
      </c>
      <c r="P22" s="87"/>
    </row>
    <row r="23" spans="1:16" s="43" customFormat="1" ht="24" customHeight="1" x14ac:dyDescent="0.15">
      <c r="A23" s="31">
        <v>21</v>
      </c>
      <c r="B23" s="35">
        <v>10</v>
      </c>
      <c r="C23" s="32" t="s">
        <v>133</v>
      </c>
      <c r="D23" s="96">
        <v>38</v>
      </c>
      <c r="E23" s="96">
        <v>1819.49</v>
      </c>
      <c r="F23" s="34">
        <f t="shared" si="2"/>
        <v>-0.97911502673826178</v>
      </c>
      <c r="G23" s="93">
        <v>7</v>
      </c>
      <c r="H23" s="92">
        <v>1</v>
      </c>
      <c r="I23" s="92">
        <f t="shared" si="1"/>
        <v>7</v>
      </c>
      <c r="J23" s="92">
        <v>1</v>
      </c>
      <c r="K23" s="92">
        <v>9</v>
      </c>
      <c r="L23" s="96">
        <v>324486.71999999997</v>
      </c>
      <c r="M23" s="93">
        <v>54773</v>
      </c>
      <c r="N23" s="37">
        <v>45079</v>
      </c>
      <c r="O23" s="59" t="s">
        <v>23</v>
      </c>
      <c r="P23" s="86"/>
    </row>
    <row r="24" spans="1:16" s="43" customFormat="1" ht="24" customHeight="1" x14ac:dyDescent="0.2">
      <c r="A24" s="31">
        <v>22</v>
      </c>
      <c r="B24" s="35">
        <v>19</v>
      </c>
      <c r="C24" s="32" t="s">
        <v>173</v>
      </c>
      <c r="D24" s="96">
        <v>6</v>
      </c>
      <c r="E24" s="96">
        <v>449.2</v>
      </c>
      <c r="F24" s="34">
        <f t="shared" si="2"/>
        <v>-0.98664292074799642</v>
      </c>
      <c r="G24" s="93">
        <v>2</v>
      </c>
      <c r="H24" s="92">
        <v>1</v>
      </c>
      <c r="I24" s="92">
        <f t="shared" si="1"/>
        <v>2</v>
      </c>
      <c r="J24" s="92">
        <v>1</v>
      </c>
      <c r="K24" s="92">
        <v>6</v>
      </c>
      <c r="L24" s="96">
        <v>1436.4</v>
      </c>
      <c r="M24" s="93">
        <v>245</v>
      </c>
      <c r="N24" s="37">
        <v>45106</v>
      </c>
      <c r="O24" s="59" t="s">
        <v>30</v>
      </c>
      <c r="P24" s="87"/>
    </row>
    <row r="25" spans="1:16" s="51" customFormat="1" ht="24" customHeight="1" x14ac:dyDescent="0.2">
      <c r="B25" s="78"/>
      <c r="C25" s="77" t="s">
        <v>205</v>
      </c>
      <c r="D25" s="52">
        <f>SUBTOTAL(109,Table13245678910111213141517[Pajamos 
(GBO)])</f>
        <v>371660.36</v>
      </c>
      <c r="E25" s="52" t="s">
        <v>203</v>
      </c>
      <c r="F25" s="81">
        <f t="shared" ref="F25" si="3">(D25-E25)/E25</f>
        <v>-0.26089513415478116</v>
      </c>
      <c r="G25" s="78">
        <f>SUBTOTAL(109,Table13245678910111213141517[Žiūrovų sk. 
(ADM)])</f>
        <v>53589</v>
      </c>
      <c r="H25" s="70"/>
      <c r="I25" s="70"/>
      <c r="J25" s="70"/>
      <c r="K25" s="70"/>
      <c r="L25" s="52"/>
      <c r="M25" s="78"/>
      <c r="N25" s="53"/>
      <c r="O25" s="79" t="s">
        <v>56</v>
      </c>
      <c r="P25" s="85"/>
    </row>
    <row r="26" spans="1:16" hidden="1" x14ac:dyDescent="0.15">
      <c r="F26" s="4"/>
      <c r="L26" s="3"/>
    </row>
    <row r="27" spans="1:16" hidden="1" x14ac:dyDescent="0.15">
      <c r="F27" s="4"/>
      <c r="L27" s="3"/>
    </row>
    <row r="28" spans="1:16" hidden="1" x14ac:dyDescent="0.15">
      <c r="F28" s="4"/>
      <c r="L28" s="3"/>
    </row>
    <row r="29" spans="1:16" hidden="1" x14ac:dyDescent="0.15">
      <c r="F29" s="4"/>
      <c r="L29" s="3"/>
    </row>
    <row r="30" spans="1:16" hidden="1" x14ac:dyDescent="0.15">
      <c r="F30" s="4"/>
      <c r="L30" s="3"/>
    </row>
    <row r="31" spans="1:16" hidden="1" x14ac:dyDescent="0.15">
      <c r="F31" s="4"/>
      <c r="L31" s="3"/>
    </row>
    <row r="32" spans="1:16" hidden="1" x14ac:dyDescent="0.15">
      <c r="F32" s="4"/>
      <c r="L32" s="3"/>
    </row>
    <row r="33" spans="1:16383" hidden="1" x14ac:dyDescent="0.15">
      <c r="F33" s="4"/>
      <c r="L33" s="3"/>
    </row>
    <row r="34" spans="1:16383" hidden="1" x14ac:dyDescent="0.15">
      <c r="F34" s="4"/>
      <c r="L34" s="3"/>
    </row>
    <row r="35" spans="1:16383" hidden="1" x14ac:dyDescent="0.15">
      <c r="F35" s="4"/>
      <c r="L35" s="3"/>
    </row>
    <row r="36" spans="1:16383" hidden="1" x14ac:dyDescent="0.15">
      <c r="F36" s="4"/>
      <c r="L36" s="3"/>
    </row>
    <row r="37" spans="1:16383" hidden="1" x14ac:dyDescent="0.15">
      <c r="F37" s="4"/>
      <c r="L37" s="3"/>
    </row>
    <row r="38" spans="1:16383" hidden="1" x14ac:dyDescent="0.15">
      <c r="F38" s="4"/>
    </row>
    <row r="39" spans="1:16383" s="44" customFormat="1" hidden="1" x14ac:dyDescent="0.15">
      <c r="A39" s="1"/>
      <c r="C39" s="1"/>
      <c r="D39" s="5"/>
      <c r="E39" s="5"/>
      <c r="F39" s="4"/>
      <c r="K39" s="66"/>
      <c r="L39" s="5"/>
      <c r="N39" s="12"/>
      <c r="O39" s="6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</row>
    <row r="40" spans="1:16383" s="44" customFormat="1" hidden="1" x14ac:dyDescent="0.15">
      <c r="A40" s="1"/>
      <c r="C40" s="1"/>
      <c r="D40" s="5"/>
      <c r="E40" s="5"/>
      <c r="F40" s="4"/>
      <c r="K40" s="66"/>
      <c r="L40" s="5"/>
      <c r="N40" s="12"/>
      <c r="O40" s="6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</row>
    <row r="41" spans="1:16383" s="44" customFormat="1" hidden="1" x14ac:dyDescent="0.15">
      <c r="A41" s="1"/>
      <c r="C41" s="1"/>
      <c r="D41" s="5"/>
      <c r="E41" s="5"/>
      <c r="F41" s="4"/>
      <c r="K41" s="66"/>
      <c r="L41" s="5"/>
      <c r="N41" s="12"/>
      <c r="O41" s="6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</row>
    <row r="42" spans="1:16383" hidden="1" x14ac:dyDescent="0.15">
      <c r="B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6383" hidden="1" x14ac:dyDescent="0.15">
      <c r="B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6383" hidden="1" x14ac:dyDescent="0.15">
      <c r="B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6383" hidden="1" x14ac:dyDescent="0.15">
      <c r="B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6383" hidden="1" x14ac:dyDescent="0.15">
      <c r="B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6383" hidden="1" x14ac:dyDescent="0.15">
      <c r="B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6383" hidden="1" x14ac:dyDescent="0.15">
      <c r="B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="1" customFormat="1" hidden="1" x14ac:dyDescent="0.15"/>
    <row r="50" s="1" customFormat="1" hidden="1" x14ac:dyDescent="0.15"/>
    <row r="51" s="1" customFormat="1" hidden="1" x14ac:dyDescent="0.15"/>
    <row r="52" s="1" customFormat="1" hidden="1" x14ac:dyDescent="0.15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DE8F5-33F7-4693-9E1B-2DCBE04EA6C5}">
  <dimension ref="A1:XFC63"/>
  <sheetViews>
    <sheetView topLeftCell="A7" zoomScale="60" zoomScaleNormal="60" workbookViewId="0">
      <selection activeCell="A17" sqref="A17:XFD17"/>
    </sheetView>
  </sheetViews>
  <sheetFormatPr defaultColWidth="18.28515625" defaultRowHeight="11.25" zeroHeight="1" x14ac:dyDescent="0.15"/>
  <cols>
    <col min="1" max="1" width="4.7109375" style="1" customWidth="1"/>
    <col min="2" max="2" width="4.7109375" style="44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188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5" t="s">
        <v>15</v>
      </c>
      <c r="C3" s="32" t="s">
        <v>189</v>
      </c>
      <c r="D3" s="33">
        <v>217564.12</v>
      </c>
      <c r="E3" s="33" t="s">
        <v>17</v>
      </c>
      <c r="F3" s="34" t="s">
        <v>17</v>
      </c>
      <c r="G3" s="35">
        <v>29395</v>
      </c>
      <c r="H3" s="92">
        <v>177</v>
      </c>
      <c r="I3" s="92">
        <f t="shared" ref="I3:I8" si="0">G3/H3</f>
        <v>166.07344632768363</v>
      </c>
      <c r="J3" s="92">
        <v>16</v>
      </c>
      <c r="K3" s="92">
        <v>1</v>
      </c>
      <c r="L3" s="33">
        <v>252356.17</v>
      </c>
      <c r="M3" s="93">
        <v>35433</v>
      </c>
      <c r="N3" s="37">
        <v>45128</v>
      </c>
      <c r="O3" s="59" t="s">
        <v>21</v>
      </c>
      <c r="P3" s="87"/>
    </row>
    <row r="4" spans="1:18" s="39" customFormat="1" ht="24.6" customHeight="1" x14ac:dyDescent="0.2">
      <c r="A4" s="31">
        <v>2</v>
      </c>
      <c r="B4" s="35" t="s">
        <v>15</v>
      </c>
      <c r="C4" s="32" t="s">
        <v>193</v>
      </c>
      <c r="D4" s="33">
        <v>151940.63</v>
      </c>
      <c r="E4" s="33" t="s">
        <v>17</v>
      </c>
      <c r="F4" s="34" t="s">
        <v>17</v>
      </c>
      <c r="G4" s="35">
        <v>21241</v>
      </c>
      <c r="H4" s="92">
        <v>156</v>
      </c>
      <c r="I4" s="92">
        <f t="shared" si="0"/>
        <v>136.16025641025641</v>
      </c>
      <c r="J4" s="92">
        <v>16</v>
      </c>
      <c r="K4" s="92">
        <v>1</v>
      </c>
      <c r="L4" s="33">
        <v>151941</v>
      </c>
      <c r="M4" s="93">
        <v>21241</v>
      </c>
      <c r="N4" s="37">
        <v>45128</v>
      </c>
      <c r="O4" s="59" t="s">
        <v>160</v>
      </c>
      <c r="P4" s="87"/>
    </row>
    <row r="5" spans="1:18" s="39" customFormat="1" ht="24.6" customHeight="1" x14ac:dyDescent="0.2">
      <c r="A5" s="31">
        <v>3</v>
      </c>
      <c r="B5" s="35">
        <v>2</v>
      </c>
      <c r="C5" s="14" t="s">
        <v>184</v>
      </c>
      <c r="D5" s="33">
        <v>33156.47</v>
      </c>
      <c r="E5" s="33">
        <v>30374.58</v>
      </c>
      <c r="F5" s="34">
        <f>(D5-E5)/E5</f>
        <v>9.1586122343090812E-2</v>
      </c>
      <c r="G5" s="35">
        <v>6205</v>
      </c>
      <c r="H5" s="92">
        <v>129</v>
      </c>
      <c r="I5" s="92">
        <f t="shared" si="0"/>
        <v>48.100775193798448</v>
      </c>
      <c r="J5" s="92">
        <v>16</v>
      </c>
      <c r="K5" s="92">
        <v>2</v>
      </c>
      <c r="L5" s="33">
        <v>106147.49</v>
      </c>
      <c r="M5" s="93">
        <v>20711</v>
      </c>
      <c r="N5" s="37">
        <v>45121</v>
      </c>
      <c r="O5" s="59" t="s">
        <v>25</v>
      </c>
      <c r="P5" s="87"/>
      <c r="R5" s="31"/>
    </row>
    <row r="6" spans="1:18" s="39" customFormat="1" ht="24.95" customHeight="1" x14ac:dyDescent="0.2">
      <c r="A6" s="31">
        <v>4</v>
      </c>
      <c r="B6" s="35">
        <v>1</v>
      </c>
      <c r="C6" s="32" t="s">
        <v>186</v>
      </c>
      <c r="D6" s="33">
        <v>27460.37</v>
      </c>
      <c r="E6" s="33">
        <v>40109.65</v>
      </c>
      <c r="F6" s="34">
        <f>(D6-E6)/E6</f>
        <v>-0.3153674988437945</v>
      </c>
      <c r="G6" s="35">
        <v>3931</v>
      </c>
      <c r="H6" s="92">
        <v>75</v>
      </c>
      <c r="I6" s="92">
        <f t="shared" si="0"/>
        <v>52.413333333333334</v>
      </c>
      <c r="J6" s="92">
        <v>11</v>
      </c>
      <c r="K6" s="92">
        <v>2</v>
      </c>
      <c r="L6" s="33">
        <v>114551</v>
      </c>
      <c r="M6" s="93">
        <v>15895</v>
      </c>
      <c r="N6" s="37">
        <v>45121</v>
      </c>
      <c r="O6" s="59" t="s">
        <v>159</v>
      </c>
      <c r="P6" s="89"/>
      <c r="R6" s="31"/>
    </row>
    <row r="7" spans="1:18" s="39" customFormat="1" ht="24.6" customHeight="1" x14ac:dyDescent="0.2">
      <c r="A7" s="31">
        <v>7</v>
      </c>
      <c r="B7" s="35">
        <v>3</v>
      </c>
      <c r="C7" s="32" t="s">
        <v>180</v>
      </c>
      <c r="D7" s="33">
        <v>20519.68</v>
      </c>
      <c r="E7" s="33">
        <v>24530.400000000001</v>
      </c>
      <c r="F7" s="34">
        <f>(D7-E7)/E7</f>
        <v>-0.16349998369370256</v>
      </c>
      <c r="G7" s="35">
        <v>2831</v>
      </c>
      <c r="H7" s="92">
        <v>45</v>
      </c>
      <c r="I7" s="92">
        <f t="shared" si="0"/>
        <v>62.911111111111111</v>
      </c>
      <c r="J7" s="92">
        <v>8</v>
      </c>
      <c r="K7" s="92">
        <v>3</v>
      </c>
      <c r="L7" s="33">
        <v>163111.64000000001</v>
      </c>
      <c r="M7" s="93">
        <v>22811</v>
      </c>
      <c r="N7" s="37">
        <v>45114</v>
      </c>
      <c r="O7" s="59" t="s">
        <v>23</v>
      </c>
      <c r="P7" s="86"/>
      <c r="R7" s="31"/>
    </row>
    <row r="8" spans="1:18" s="39" customFormat="1" ht="24.95" customHeight="1" x14ac:dyDescent="0.2">
      <c r="A8" s="31">
        <v>5</v>
      </c>
      <c r="B8" s="35">
        <v>4</v>
      </c>
      <c r="C8" s="32" t="s">
        <v>154</v>
      </c>
      <c r="D8" s="33">
        <v>17582.580000000002</v>
      </c>
      <c r="E8" s="33">
        <v>12390.84</v>
      </c>
      <c r="F8" s="34">
        <f>(D8-E8)/E8</f>
        <v>0.41899822772306006</v>
      </c>
      <c r="G8" s="35">
        <v>3240</v>
      </c>
      <c r="H8" s="92">
        <v>50</v>
      </c>
      <c r="I8" s="92">
        <f t="shared" si="0"/>
        <v>64.8</v>
      </c>
      <c r="J8" s="92">
        <v>10</v>
      </c>
      <c r="K8" s="92">
        <v>6</v>
      </c>
      <c r="L8" s="33">
        <v>344458</v>
      </c>
      <c r="M8" s="93">
        <v>67750</v>
      </c>
      <c r="N8" s="37">
        <v>45093</v>
      </c>
      <c r="O8" s="59" t="s">
        <v>49</v>
      </c>
      <c r="P8" s="86"/>
      <c r="R8" s="31"/>
    </row>
    <row r="9" spans="1:18" s="39" customFormat="1" ht="24.95" customHeight="1" x14ac:dyDescent="0.2">
      <c r="A9" s="31">
        <v>6</v>
      </c>
      <c r="B9" s="35" t="s">
        <v>15</v>
      </c>
      <c r="C9" s="32" t="s">
        <v>197</v>
      </c>
      <c r="D9" s="33">
        <v>14656</v>
      </c>
      <c r="E9" s="33" t="s">
        <v>17</v>
      </c>
      <c r="F9" s="34" t="s">
        <v>17</v>
      </c>
      <c r="G9" s="35">
        <v>2974</v>
      </c>
      <c r="H9" s="92" t="s">
        <v>17</v>
      </c>
      <c r="I9" s="92" t="s">
        <v>17</v>
      </c>
      <c r="J9" s="92">
        <v>13</v>
      </c>
      <c r="K9" s="92">
        <v>1</v>
      </c>
      <c r="L9" s="33">
        <v>14656</v>
      </c>
      <c r="M9" s="93">
        <v>2974</v>
      </c>
      <c r="N9" s="37">
        <v>45128</v>
      </c>
      <c r="O9" s="59" t="s">
        <v>28</v>
      </c>
      <c r="P9" s="87"/>
      <c r="R9" s="31"/>
    </row>
    <row r="10" spans="1:18" s="39" customFormat="1" ht="24.95" customHeight="1" x14ac:dyDescent="0.2">
      <c r="A10" s="31">
        <v>8</v>
      </c>
      <c r="B10" s="35">
        <v>8</v>
      </c>
      <c r="C10" s="32" t="s">
        <v>175</v>
      </c>
      <c r="D10" s="33">
        <v>6043.83</v>
      </c>
      <c r="E10" s="33">
        <v>4778.41</v>
      </c>
      <c r="F10" s="34">
        <f t="shared" ref="F10:F15" si="1">(D10-E10)/E10</f>
        <v>0.26482030633620807</v>
      </c>
      <c r="G10" s="35">
        <v>1194</v>
      </c>
      <c r="H10" s="92">
        <v>32</v>
      </c>
      <c r="I10" s="92">
        <f t="shared" ref="I10:I35" si="2">G10/H10</f>
        <v>37.3125</v>
      </c>
      <c r="J10" s="92">
        <v>11</v>
      </c>
      <c r="K10" s="92">
        <v>4</v>
      </c>
      <c r="L10" s="33">
        <v>80343</v>
      </c>
      <c r="M10" s="93">
        <v>17039</v>
      </c>
      <c r="N10" s="37">
        <v>45107</v>
      </c>
      <c r="O10" s="59" t="s">
        <v>160</v>
      </c>
      <c r="P10" s="86"/>
      <c r="R10" s="31"/>
    </row>
    <row r="11" spans="1:18" s="39" customFormat="1" ht="24.95" customHeight="1" x14ac:dyDescent="0.2">
      <c r="A11" s="31">
        <v>9</v>
      </c>
      <c r="B11" s="35">
        <v>5</v>
      </c>
      <c r="C11" s="32" t="s">
        <v>174</v>
      </c>
      <c r="D11" s="33">
        <v>4959.55</v>
      </c>
      <c r="E11" s="33">
        <v>6935.5</v>
      </c>
      <c r="F11" s="34">
        <f t="shared" si="1"/>
        <v>-0.28490375603777662</v>
      </c>
      <c r="G11" s="35">
        <v>713</v>
      </c>
      <c r="H11" s="92">
        <v>19</v>
      </c>
      <c r="I11" s="92">
        <f t="shared" si="2"/>
        <v>37.526315789473685</v>
      </c>
      <c r="J11" s="92">
        <v>5</v>
      </c>
      <c r="K11" s="92">
        <v>4</v>
      </c>
      <c r="L11" s="33">
        <v>108812</v>
      </c>
      <c r="M11" s="93">
        <v>15958</v>
      </c>
      <c r="N11" s="37">
        <v>45107</v>
      </c>
      <c r="O11" s="59" t="s">
        <v>49</v>
      </c>
      <c r="P11" s="86"/>
      <c r="R11" s="31"/>
    </row>
    <row r="12" spans="1:18" s="39" customFormat="1" ht="24.95" customHeight="1" x14ac:dyDescent="0.2">
      <c r="A12" s="31">
        <v>10</v>
      </c>
      <c r="B12" s="35">
        <v>7</v>
      </c>
      <c r="C12" s="32" t="s">
        <v>133</v>
      </c>
      <c r="D12" s="33">
        <v>1819.49</v>
      </c>
      <c r="E12" s="33">
        <v>5391.84</v>
      </c>
      <c r="F12" s="34">
        <f t="shared" si="1"/>
        <v>-0.66254747915368417</v>
      </c>
      <c r="G12" s="35">
        <v>295</v>
      </c>
      <c r="H12" s="92">
        <v>8</v>
      </c>
      <c r="I12" s="92">
        <f t="shared" si="2"/>
        <v>36.875</v>
      </c>
      <c r="J12" s="92">
        <v>4</v>
      </c>
      <c r="K12" s="92">
        <v>8</v>
      </c>
      <c r="L12" s="33">
        <v>321435.55</v>
      </c>
      <c r="M12" s="93">
        <v>54135</v>
      </c>
      <c r="N12" s="37">
        <v>45079</v>
      </c>
      <c r="O12" s="59" t="s">
        <v>23</v>
      </c>
      <c r="P12" s="86"/>
      <c r="R12" s="31"/>
    </row>
    <row r="13" spans="1:18" s="43" customFormat="1" ht="24.6" customHeight="1" x14ac:dyDescent="0.15">
      <c r="A13" s="31">
        <v>11</v>
      </c>
      <c r="B13" s="35">
        <v>6</v>
      </c>
      <c r="C13" s="32" t="s">
        <v>165</v>
      </c>
      <c r="D13" s="33">
        <v>1448.42</v>
      </c>
      <c r="E13" s="33">
        <v>5633.38</v>
      </c>
      <c r="F13" s="34">
        <f t="shared" si="1"/>
        <v>-0.7428861536058281</v>
      </c>
      <c r="G13" s="35">
        <v>208</v>
      </c>
      <c r="H13" s="92">
        <v>7</v>
      </c>
      <c r="I13" s="92">
        <f t="shared" si="2"/>
        <v>29.714285714285715</v>
      </c>
      <c r="J13" s="92">
        <v>4</v>
      </c>
      <c r="K13" s="92">
        <v>5</v>
      </c>
      <c r="L13" s="33">
        <v>118856.81</v>
      </c>
      <c r="M13" s="93">
        <v>17146</v>
      </c>
      <c r="N13" s="37">
        <v>45100</v>
      </c>
      <c r="O13" s="59" t="s">
        <v>23</v>
      </c>
      <c r="P13" s="86"/>
    </row>
    <row r="14" spans="1:18" s="43" customFormat="1" ht="24" customHeight="1" x14ac:dyDescent="0.15">
      <c r="A14" s="31">
        <v>14</v>
      </c>
      <c r="B14" s="35">
        <v>16</v>
      </c>
      <c r="C14" s="32" t="s">
        <v>136</v>
      </c>
      <c r="D14" s="33">
        <v>1194.53</v>
      </c>
      <c r="E14" s="33">
        <v>696.87</v>
      </c>
      <c r="F14" s="34">
        <f t="shared" si="1"/>
        <v>0.714136065550246</v>
      </c>
      <c r="G14" s="35">
        <v>163</v>
      </c>
      <c r="H14" s="92">
        <v>4</v>
      </c>
      <c r="I14" s="92">
        <f t="shared" si="2"/>
        <v>40.75</v>
      </c>
      <c r="J14" s="92">
        <v>2</v>
      </c>
      <c r="K14" s="92">
        <v>8</v>
      </c>
      <c r="L14" s="33">
        <v>76739</v>
      </c>
      <c r="M14" s="93">
        <v>12278</v>
      </c>
      <c r="N14" s="37">
        <v>45079</v>
      </c>
      <c r="O14" s="59" t="s">
        <v>49</v>
      </c>
      <c r="P14" s="86"/>
    </row>
    <row r="15" spans="1:18" s="43" customFormat="1" ht="24.6" customHeight="1" x14ac:dyDescent="0.2">
      <c r="A15" s="31">
        <v>13</v>
      </c>
      <c r="B15" s="35">
        <v>21</v>
      </c>
      <c r="C15" s="32" t="s">
        <v>42</v>
      </c>
      <c r="D15" s="33">
        <v>1192.0999999999999</v>
      </c>
      <c r="E15" s="33">
        <v>223.7</v>
      </c>
      <c r="F15" s="34">
        <f t="shared" si="1"/>
        <v>4.3290120697362537</v>
      </c>
      <c r="G15" s="35">
        <v>172</v>
      </c>
      <c r="H15" s="92">
        <v>5</v>
      </c>
      <c r="I15" s="92">
        <f t="shared" si="2"/>
        <v>34.4</v>
      </c>
      <c r="J15" s="92">
        <v>2</v>
      </c>
      <c r="K15" s="92">
        <v>21</v>
      </c>
      <c r="L15" s="33">
        <v>239918.03</v>
      </c>
      <c r="M15" s="93">
        <v>37602</v>
      </c>
      <c r="N15" s="37">
        <v>44988</v>
      </c>
      <c r="O15" s="59" t="s">
        <v>43</v>
      </c>
      <c r="P15" s="87"/>
    </row>
    <row r="16" spans="1:18" s="91" customFormat="1" ht="24.6" customHeight="1" x14ac:dyDescent="0.2">
      <c r="A16" s="31">
        <v>12</v>
      </c>
      <c r="B16" s="35" t="s">
        <v>17</v>
      </c>
      <c r="C16" s="32" t="s">
        <v>196</v>
      </c>
      <c r="D16" s="33">
        <v>458.08</v>
      </c>
      <c r="E16" s="33" t="s">
        <v>17</v>
      </c>
      <c r="F16" s="34" t="s">
        <v>17</v>
      </c>
      <c r="G16" s="35">
        <v>184</v>
      </c>
      <c r="H16" s="92">
        <v>6</v>
      </c>
      <c r="I16" s="92">
        <f t="shared" si="2"/>
        <v>30.666666666666668</v>
      </c>
      <c r="J16" s="92">
        <v>2</v>
      </c>
      <c r="K16" s="92" t="s">
        <v>17</v>
      </c>
      <c r="L16" s="33">
        <v>207670</v>
      </c>
      <c r="M16" s="93">
        <v>42286</v>
      </c>
      <c r="N16" s="37">
        <v>44638</v>
      </c>
      <c r="O16" s="59" t="s">
        <v>160</v>
      </c>
      <c r="P16" s="87"/>
    </row>
    <row r="17" spans="1:16" s="43" customFormat="1" ht="24.6" customHeight="1" x14ac:dyDescent="0.2">
      <c r="A17" s="31">
        <v>16</v>
      </c>
      <c r="B17" s="35">
        <v>19</v>
      </c>
      <c r="C17" s="32" t="s">
        <v>16</v>
      </c>
      <c r="D17" s="33">
        <v>456.31</v>
      </c>
      <c r="E17" s="33">
        <v>242.5</v>
      </c>
      <c r="F17" s="34">
        <f>(D17-E17)/E17</f>
        <v>0.88169072164948459</v>
      </c>
      <c r="G17" s="35">
        <v>92</v>
      </c>
      <c r="H17" s="92">
        <v>6</v>
      </c>
      <c r="I17" s="92">
        <f t="shared" si="2"/>
        <v>15.333333333333334</v>
      </c>
      <c r="J17" s="92">
        <v>2</v>
      </c>
      <c r="K17" s="92">
        <v>14</v>
      </c>
      <c r="L17" s="33">
        <v>249088.1</v>
      </c>
      <c r="M17" s="93">
        <v>49667</v>
      </c>
      <c r="N17" s="37">
        <v>45037</v>
      </c>
      <c r="O17" s="59" t="s">
        <v>18</v>
      </c>
      <c r="P17" s="87"/>
    </row>
    <row r="18" spans="1:16" s="43" customFormat="1" ht="24" customHeight="1" x14ac:dyDescent="0.2">
      <c r="A18" s="31">
        <v>19</v>
      </c>
      <c r="B18" s="35">
        <v>30</v>
      </c>
      <c r="C18" s="32" t="s">
        <v>173</v>
      </c>
      <c r="D18" s="33">
        <v>449.2</v>
      </c>
      <c r="E18" s="33">
        <v>29.6</v>
      </c>
      <c r="F18" s="34">
        <f>(D18-E18)/E18</f>
        <v>14.175675675675674</v>
      </c>
      <c r="G18" s="35">
        <v>68</v>
      </c>
      <c r="H18" s="92">
        <v>4</v>
      </c>
      <c r="I18" s="92">
        <f t="shared" si="2"/>
        <v>17</v>
      </c>
      <c r="J18" s="92">
        <v>3</v>
      </c>
      <c r="K18" s="92">
        <v>5</v>
      </c>
      <c r="L18" s="33">
        <v>1411.4</v>
      </c>
      <c r="M18" s="93">
        <v>237</v>
      </c>
      <c r="N18" s="37">
        <v>45106</v>
      </c>
      <c r="O18" s="59" t="s">
        <v>30</v>
      </c>
      <c r="P18" s="87"/>
    </row>
    <row r="19" spans="1:16" s="43" customFormat="1" ht="24.6" customHeight="1" x14ac:dyDescent="0.15">
      <c r="A19" s="31">
        <v>17</v>
      </c>
      <c r="B19" s="35">
        <v>11</v>
      </c>
      <c r="C19" s="32" t="s">
        <v>19</v>
      </c>
      <c r="D19" s="33">
        <v>402.24</v>
      </c>
      <c r="E19" s="33">
        <v>1646.5</v>
      </c>
      <c r="F19" s="34">
        <f>(D19-E19)/E19</f>
        <v>-0.75569996963255393</v>
      </c>
      <c r="G19" s="35">
        <v>85</v>
      </c>
      <c r="H19" s="92">
        <v>3</v>
      </c>
      <c r="I19" s="92">
        <f t="shared" si="2"/>
        <v>28.333333333333332</v>
      </c>
      <c r="J19" s="92">
        <v>1</v>
      </c>
      <c r="K19" s="92">
        <v>16</v>
      </c>
      <c r="L19" s="33">
        <v>588728</v>
      </c>
      <c r="M19" s="93">
        <v>108407</v>
      </c>
      <c r="N19" s="37">
        <v>45023</v>
      </c>
      <c r="O19" s="59" t="s">
        <v>160</v>
      </c>
      <c r="P19" s="86"/>
    </row>
    <row r="20" spans="1:16" s="43" customFormat="1" ht="24.6" customHeight="1" x14ac:dyDescent="0.2">
      <c r="A20" s="31">
        <v>15</v>
      </c>
      <c r="B20" s="92">
        <v>23</v>
      </c>
      <c r="C20" s="32" t="s">
        <v>135</v>
      </c>
      <c r="D20" s="33">
        <v>247.5</v>
      </c>
      <c r="E20" s="33">
        <v>165</v>
      </c>
      <c r="F20" s="34">
        <f>(D20-E20)/E20</f>
        <v>0.5</v>
      </c>
      <c r="G20" s="35">
        <v>103</v>
      </c>
      <c r="H20" s="92">
        <v>6</v>
      </c>
      <c r="I20" s="92">
        <f t="shared" si="2"/>
        <v>17.166666666666668</v>
      </c>
      <c r="J20" s="92">
        <v>2</v>
      </c>
      <c r="K20" s="92" t="s">
        <v>17</v>
      </c>
      <c r="L20" s="33">
        <v>186660.54</v>
      </c>
      <c r="M20" s="93">
        <v>37205</v>
      </c>
      <c r="N20" s="37">
        <v>44869</v>
      </c>
      <c r="O20" s="67" t="s">
        <v>23</v>
      </c>
      <c r="P20" s="87"/>
    </row>
    <row r="21" spans="1:16" s="43" customFormat="1" ht="24.6" customHeight="1" x14ac:dyDescent="0.2">
      <c r="A21" s="31">
        <v>24</v>
      </c>
      <c r="B21" s="35" t="s">
        <v>17</v>
      </c>
      <c r="C21" s="32" t="s">
        <v>130</v>
      </c>
      <c r="D21" s="33">
        <v>221.58</v>
      </c>
      <c r="E21" s="33" t="s">
        <v>17</v>
      </c>
      <c r="F21" s="34" t="s">
        <v>17</v>
      </c>
      <c r="G21" s="35">
        <v>32</v>
      </c>
      <c r="H21" s="92">
        <v>2</v>
      </c>
      <c r="I21" s="92">
        <f t="shared" si="2"/>
        <v>16</v>
      </c>
      <c r="J21" s="92">
        <v>1</v>
      </c>
      <c r="K21" s="92">
        <v>8</v>
      </c>
      <c r="L21" s="33">
        <v>8595.9</v>
      </c>
      <c r="M21" s="93">
        <v>1328</v>
      </c>
      <c r="N21" s="37">
        <v>45079</v>
      </c>
      <c r="O21" s="59" t="s">
        <v>33</v>
      </c>
      <c r="P21" s="87"/>
    </row>
    <row r="22" spans="1:16" s="43" customFormat="1" ht="24.6" customHeight="1" x14ac:dyDescent="0.2">
      <c r="A22" s="31">
        <v>18</v>
      </c>
      <c r="B22" s="35" t="s">
        <v>17</v>
      </c>
      <c r="C22" s="32" t="s">
        <v>195</v>
      </c>
      <c r="D22" s="33">
        <v>203.8</v>
      </c>
      <c r="E22" s="33" t="s">
        <v>17</v>
      </c>
      <c r="F22" s="34" t="s">
        <v>17</v>
      </c>
      <c r="G22" s="35">
        <v>80</v>
      </c>
      <c r="H22" s="92">
        <v>6</v>
      </c>
      <c r="I22" s="92">
        <f t="shared" si="2"/>
        <v>13.333333333333334</v>
      </c>
      <c r="J22" s="92">
        <v>2</v>
      </c>
      <c r="K22" s="92" t="s">
        <v>17</v>
      </c>
      <c r="L22" s="33">
        <v>318660</v>
      </c>
      <c r="M22" s="93">
        <v>64978</v>
      </c>
      <c r="N22" s="37">
        <v>44552</v>
      </c>
      <c r="O22" s="59" t="s">
        <v>160</v>
      </c>
      <c r="P22" s="87"/>
    </row>
    <row r="23" spans="1:16" s="43" customFormat="1" ht="24" customHeight="1" x14ac:dyDescent="0.2">
      <c r="A23" s="31">
        <v>22</v>
      </c>
      <c r="B23" s="35">
        <v>25</v>
      </c>
      <c r="C23" s="32" t="s">
        <v>115</v>
      </c>
      <c r="D23" s="33">
        <v>191</v>
      </c>
      <c r="E23" s="33">
        <v>109.1</v>
      </c>
      <c r="F23" s="34">
        <f>(D23-E23)/E23</f>
        <v>0.75068744271310728</v>
      </c>
      <c r="G23" s="35">
        <v>35</v>
      </c>
      <c r="H23" s="92">
        <v>1</v>
      </c>
      <c r="I23" s="92">
        <f t="shared" si="2"/>
        <v>35</v>
      </c>
      <c r="J23" s="92">
        <v>1</v>
      </c>
      <c r="K23" s="92">
        <v>10</v>
      </c>
      <c r="L23" s="33">
        <v>8722</v>
      </c>
      <c r="M23" s="93">
        <v>1527</v>
      </c>
      <c r="N23" s="37">
        <v>45065</v>
      </c>
      <c r="O23" s="59" t="s">
        <v>49</v>
      </c>
      <c r="P23" s="87"/>
    </row>
    <row r="24" spans="1:16" s="43" customFormat="1" ht="24.6" customHeight="1" x14ac:dyDescent="0.2">
      <c r="A24" s="31">
        <v>21</v>
      </c>
      <c r="B24" s="35">
        <v>22</v>
      </c>
      <c r="C24" s="32" t="s">
        <v>62</v>
      </c>
      <c r="D24" s="45">
        <v>120.4</v>
      </c>
      <c r="E24" s="45">
        <v>208.5</v>
      </c>
      <c r="F24" s="34">
        <f>(D24-E24)/E24</f>
        <v>-0.42254196642685848</v>
      </c>
      <c r="G24" s="46">
        <v>36</v>
      </c>
      <c r="H24" s="92">
        <v>3</v>
      </c>
      <c r="I24" s="92">
        <f t="shared" si="2"/>
        <v>12</v>
      </c>
      <c r="J24" s="92">
        <v>2</v>
      </c>
      <c r="K24" s="92">
        <v>13</v>
      </c>
      <c r="L24" s="45">
        <v>45400.24</v>
      </c>
      <c r="M24" s="94">
        <v>9432</v>
      </c>
      <c r="N24" s="37">
        <v>45044</v>
      </c>
      <c r="O24" s="59" t="s">
        <v>33</v>
      </c>
      <c r="P24" s="90"/>
    </row>
    <row r="25" spans="1:16" s="43" customFormat="1" ht="24.6" customHeight="1" x14ac:dyDescent="0.15">
      <c r="A25" s="31">
        <v>25</v>
      </c>
      <c r="B25" s="35">
        <v>14</v>
      </c>
      <c r="C25" s="32" t="s">
        <v>85</v>
      </c>
      <c r="D25" s="33">
        <v>120</v>
      </c>
      <c r="E25" s="33">
        <v>990.98</v>
      </c>
      <c r="F25" s="34">
        <f>(D25-E25)/E25</f>
        <v>-0.87890774788593107</v>
      </c>
      <c r="G25" s="35">
        <v>30</v>
      </c>
      <c r="H25" s="92">
        <v>1</v>
      </c>
      <c r="I25" s="92">
        <f t="shared" si="2"/>
        <v>30</v>
      </c>
      <c r="J25" s="92">
        <v>1</v>
      </c>
      <c r="K25" s="92">
        <v>12</v>
      </c>
      <c r="L25" s="33">
        <v>289864</v>
      </c>
      <c r="M25" s="93">
        <v>41258</v>
      </c>
      <c r="N25" s="37">
        <v>45051</v>
      </c>
      <c r="O25" s="59" t="s">
        <v>49</v>
      </c>
      <c r="P25" s="86"/>
    </row>
    <row r="26" spans="1:16" s="43" customFormat="1" ht="24.6" customHeight="1" x14ac:dyDescent="0.2">
      <c r="A26" s="31">
        <v>20</v>
      </c>
      <c r="B26" s="35" t="s">
        <v>17</v>
      </c>
      <c r="C26" s="32" t="s">
        <v>152</v>
      </c>
      <c r="D26" s="33">
        <v>102.5</v>
      </c>
      <c r="E26" s="33" t="s">
        <v>17</v>
      </c>
      <c r="F26" s="34" t="s">
        <v>17</v>
      </c>
      <c r="G26" s="35">
        <v>41</v>
      </c>
      <c r="H26" s="92">
        <v>2</v>
      </c>
      <c r="I26" s="92">
        <f t="shared" si="2"/>
        <v>20.5</v>
      </c>
      <c r="J26" s="92">
        <v>1</v>
      </c>
      <c r="K26" s="92" t="s">
        <v>17</v>
      </c>
      <c r="L26" s="33">
        <v>102146.33</v>
      </c>
      <c r="M26" s="93">
        <v>21720</v>
      </c>
      <c r="N26" s="37">
        <v>44603</v>
      </c>
      <c r="O26" s="59" t="s">
        <v>25</v>
      </c>
      <c r="P26" s="87"/>
    </row>
    <row r="27" spans="1:16" s="43" customFormat="1" ht="24.6" customHeight="1" x14ac:dyDescent="0.2">
      <c r="A27" s="31">
        <v>23</v>
      </c>
      <c r="B27" s="35" t="s">
        <v>17</v>
      </c>
      <c r="C27" s="32" t="s">
        <v>194</v>
      </c>
      <c r="D27" s="33">
        <v>85</v>
      </c>
      <c r="E27" s="33" t="s">
        <v>17</v>
      </c>
      <c r="F27" s="34" t="s">
        <v>17</v>
      </c>
      <c r="G27" s="35">
        <v>34</v>
      </c>
      <c r="H27" s="92">
        <v>2</v>
      </c>
      <c r="I27" s="92">
        <f t="shared" si="2"/>
        <v>17</v>
      </c>
      <c r="J27" s="92">
        <v>1</v>
      </c>
      <c r="K27" s="92" t="s">
        <v>17</v>
      </c>
      <c r="L27" s="33">
        <v>287053</v>
      </c>
      <c r="M27" s="93">
        <v>57824</v>
      </c>
      <c r="N27" s="37">
        <v>44631</v>
      </c>
      <c r="O27" s="59" t="s">
        <v>49</v>
      </c>
      <c r="P27" s="87"/>
    </row>
    <row r="28" spans="1:16" s="43" customFormat="1" ht="24.6" customHeight="1" x14ac:dyDescent="0.2">
      <c r="A28" s="31">
        <v>26</v>
      </c>
      <c r="B28" s="95">
        <v>26</v>
      </c>
      <c r="C28" s="14" t="s">
        <v>72</v>
      </c>
      <c r="D28" s="15">
        <v>66.8</v>
      </c>
      <c r="E28" s="15">
        <v>96</v>
      </c>
      <c r="F28" s="34">
        <f>(D28-E28)/E28</f>
        <v>-0.3041666666666667</v>
      </c>
      <c r="G28" s="17">
        <v>9</v>
      </c>
      <c r="H28" s="95">
        <v>1</v>
      </c>
      <c r="I28" s="95">
        <f t="shared" si="2"/>
        <v>9</v>
      </c>
      <c r="J28" s="95">
        <v>1</v>
      </c>
      <c r="K28" s="95" t="s">
        <v>17</v>
      </c>
      <c r="L28" s="33">
        <v>56779</v>
      </c>
      <c r="M28" s="93">
        <v>7549</v>
      </c>
      <c r="N28" s="19">
        <v>45012</v>
      </c>
      <c r="O28" s="68" t="s">
        <v>73</v>
      </c>
      <c r="P28" s="87"/>
    </row>
    <row r="29" spans="1:16" s="43" customFormat="1" ht="24.6" customHeight="1" x14ac:dyDescent="0.2">
      <c r="A29" s="31">
        <v>28</v>
      </c>
      <c r="B29" s="35" t="s">
        <v>17</v>
      </c>
      <c r="C29" s="32" t="s">
        <v>61</v>
      </c>
      <c r="D29" s="33">
        <v>51.8</v>
      </c>
      <c r="E29" s="33" t="s">
        <v>17</v>
      </c>
      <c r="F29" s="34" t="s">
        <v>17</v>
      </c>
      <c r="G29" s="35">
        <v>7</v>
      </c>
      <c r="H29" s="92">
        <v>1</v>
      </c>
      <c r="I29" s="92">
        <f t="shared" si="2"/>
        <v>7</v>
      </c>
      <c r="J29" s="92">
        <v>1</v>
      </c>
      <c r="K29" s="92" t="s">
        <v>17</v>
      </c>
      <c r="L29" s="33">
        <v>11036.47</v>
      </c>
      <c r="M29" s="93">
        <v>1809</v>
      </c>
      <c r="N29" s="37">
        <v>45044</v>
      </c>
      <c r="O29" s="59" t="s">
        <v>33</v>
      </c>
      <c r="P29" s="87"/>
    </row>
    <row r="30" spans="1:16" s="43" customFormat="1" ht="24.6" customHeight="1" x14ac:dyDescent="0.2">
      <c r="A30" s="31">
        <v>29</v>
      </c>
      <c r="B30" s="35">
        <v>28</v>
      </c>
      <c r="C30" s="32" t="s">
        <v>90</v>
      </c>
      <c r="D30" s="33">
        <v>42.5</v>
      </c>
      <c r="E30" s="33">
        <v>49.9</v>
      </c>
      <c r="F30" s="34">
        <f>(D30-E30)/E30</f>
        <v>-0.14829659318637273</v>
      </c>
      <c r="G30" s="35">
        <v>6</v>
      </c>
      <c r="H30" s="92">
        <v>1</v>
      </c>
      <c r="I30" s="92">
        <f t="shared" si="2"/>
        <v>6</v>
      </c>
      <c r="J30" s="92">
        <v>1</v>
      </c>
      <c r="K30" s="92" t="s">
        <v>17</v>
      </c>
      <c r="L30" s="33">
        <v>41262.080000000002</v>
      </c>
      <c r="M30" s="93">
        <v>6985</v>
      </c>
      <c r="N30" s="37">
        <v>44678</v>
      </c>
      <c r="O30" s="59" t="s">
        <v>33</v>
      </c>
      <c r="P30" s="87"/>
    </row>
    <row r="31" spans="1:16" s="43" customFormat="1" ht="24.6" customHeight="1" x14ac:dyDescent="0.2">
      <c r="A31" s="31">
        <v>31</v>
      </c>
      <c r="B31" s="35" t="s">
        <v>17</v>
      </c>
      <c r="C31" s="32" t="s">
        <v>190</v>
      </c>
      <c r="D31" s="33">
        <v>35.1</v>
      </c>
      <c r="E31" s="33" t="s">
        <v>17</v>
      </c>
      <c r="F31" s="34" t="s">
        <v>17</v>
      </c>
      <c r="G31" s="35">
        <v>5</v>
      </c>
      <c r="H31" s="92">
        <v>1</v>
      </c>
      <c r="I31" s="92">
        <f t="shared" si="2"/>
        <v>5</v>
      </c>
      <c r="J31" s="92">
        <v>1</v>
      </c>
      <c r="K31" s="92" t="s">
        <v>17</v>
      </c>
      <c r="L31" s="33">
        <v>4075</v>
      </c>
      <c r="M31" s="93">
        <v>720</v>
      </c>
      <c r="N31" s="37">
        <v>45001</v>
      </c>
      <c r="O31" s="59" t="s">
        <v>73</v>
      </c>
      <c r="P31" s="87"/>
    </row>
    <row r="32" spans="1:16" s="43" customFormat="1" ht="24.6" customHeight="1" x14ac:dyDescent="0.2">
      <c r="A32" s="31">
        <v>27</v>
      </c>
      <c r="B32" s="35" t="s">
        <v>17</v>
      </c>
      <c r="C32" s="32" t="s">
        <v>191</v>
      </c>
      <c r="D32" s="33">
        <v>27</v>
      </c>
      <c r="E32" s="33" t="s">
        <v>17</v>
      </c>
      <c r="F32" s="34" t="s">
        <v>17</v>
      </c>
      <c r="G32" s="35">
        <v>8</v>
      </c>
      <c r="H32" s="92">
        <v>1</v>
      </c>
      <c r="I32" s="92">
        <f t="shared" si="2"/>
        <v>8</v>
      </c>
      <c r="J32" s="92">
        <v>1</v>
      </c>
      <c r="K32" s="92" t="s">
        <v>17</v>
      </c>
      <c r="L32" s="33">
        <v>169950.07999999999</v>
      </c>
      <c r="M32" s="93">
        <v>35160</v>
      </c>
      <c r="N32" s="37">
        <v>44925</v>
      </c>
      <c r="O32" s="59" t="s">
        <v>33</v>
      </c>
      <c r="P32" s="87"/>
    </row>
    <row r="33" spans="1:16" s="43" customFormat="1" ht="24.6" customHeight="1" x14ac:dyDescent="0.2">
      <c r="A33" s="31">
        <v>30</v>
      </c>
      <c r="B33" s="35" t="s">
        <v>17</v>
      </c>
      <c r="C33" s="32" t="s">
        <v>54</v>
      </c>
      <c r="D33" s="33">
        <v>17</v>
      </c>
      <c r="E33" s="33" t="s">
        <v>17</v>
      </c>
      <c r="F33" s="34" t="s">
        <v>17</v>
      </c>
      <c r="G33" s="35">
        <v>5</v>
      </c>
      <c r="H33" s="92">
        <v>1</v>
      </c>
      <c r="I33" s="92">
        <f t="shared" si="2"/>
        <v>5</v>
      </c>
      <c r="J33" s="92">
        <v>1</v>
      </c>
      <c r="K33" s="92" t="s">
        <v>17</v>
      </c>
      <c r="L33" s="33">
        <v>73071.509999999995</v>
      </c>
      <c r="M33" s="93">
        <v>15367</v>
      </c>
      <c r="N33" s="37">
        <v>44981</v>
      </c>
      <c r="O33" s="59" t="s">
        <v>33</v>
      </c>
      <c r="P33" s="87"/>
    </row>
    <row r="34" spans="1:16" s="43" customFormat="1" ht="24" customHeight="1" x14ac:dyDescent="0.2">
      <c r="A34" s="31">
        <v>32</v>
      </c>
      <c r="B34" s="95">
        <v>27</v>
      </c>
      <c r="C34" s="32" t="s">
        <v>74</v>
      </c>
      <c r="D34" s="33">
        <v>14.8</v>
      </c>
      <c r="E34" s="33">
        <v>57.3</v>
      </c>
      <c r="F34" s="34">
        <f>(D34-E34)/E34</f>
        <v>-0.7417102966841187</v>
      </c>
      <c r="G34" s="35">
        <v>2</v>
      </c>
      <c r="H34" s="92">
        <v>1</v>
      </c>
      <c r="I34" s="92">
        <f t="shared" si="2"/>
        <v>2</v>
      </c>
      <c r="J34" s="92">
        <v>1</v>
      </c>
      <c r="K34" s="92" t="s">
        <v>17</v>
      </c>
      <c r="L34" s="33">
        <v>45964</v>
      </c>
      <c r="M34" s="93">
        <v>5405</v>
      </c>
      <c r="N34" s="37">
        <v>45012</v>
      </c>
      <c r="O34" s="59" t="s">
        <v>73</v>
      </c>
      <c r="P34" s="87"/>
    </row>
    <row r="35" spans="1:16" s="43" customFormat="1" ht="24" customHeight="1" x14ac:dyDescent="0.2">
      <c r="A35" s="31">
        <v>33</v>
      </c>
      <c r="B35" s="35" t="s">
        <v>17</v>
      </c>
      <c r="C35" s="32" t="s">
        <v>192</v>
      </c>
      <c r="D35" s="33">
        <v>2</v>
      </c>
      <c r="E35" s="33">
        <v>8</v>
      </c>
      <c r="F35" s="34" t="s">
        <v>17</v>
      </c>
      <c r="G35" s="35">
        <v>2</v>
      </c>
      <c r="H35" s="92">
        <v>1</v>
      </c>
      <c r="I35" s="92">
        <f t="shared" si="2"/>
        <v>2</v>
      </c>
      <c r="J35" s="92">
        <v>1</v>
      </c>
      <c r="K35" s="92" t="s">
        <v>17</v>
      </c>
      <c r="L35" s="33">
        <v>22039.09</v>
      </c>
      <c r="M35" s="93">
        <v>3525</v>
      </c>
      <c r="N35" s="37">
        <v>44875</v>
      </c>
      <c r="O35" s="59" t="s">
        <v>30</v>
      </c>
      <c r="P35" s="87"/>
    </row>
    <row r="36" spans="1:16" s="51" customFormat="1" ht="24" customHeight="1" x14ac:dyDescent="0.2">
      <c r="B36" s="78"/>
      <c r="C36" s="77" t="s">
        <v>198</v>
      </c>
      <c r="D36" s="52">
        <f>SUBTOTAL(109,Table132456789101112131415[Pajamos 
(GBO)])</f>
        <v>502852.37999999995</v>
      </c>
      <c r="E36" s="52" t="s">
        <v>206</v>
      </c>
      <c r="F36" s="81">
        <f t="shared" ref="F36" si="3">(D36-E36)/E36</f>
        <v>2.482308970789878</v>
      </c>
      <c r="G36" s="78">
        <f>SUBTOTAL(109,Table132456789101112131415[Žiūrovų sk. 
(ADM)])</f>
        <v>73426</v>
      </c>
      <c r="H36" s="70"/>
      <c r="I36" s="70"/>
      <c r="J36" s="70"/>
      <c r="K36" s="70"/>
      <c r="L36" s="52"/>
      <c r="M36" s="78"/>
      <c r="N36" s="53"/>
      <c r="O36" s="79" t="s">
        <v>56</v>
      </c>
      <c r="P36" s="85"/>
    </row>
    <row r="37" spans="1:16" hidden="1" x14ac:dyDescent="0.15">
      <c r="F37" s="4"/>
      <c r="L37" s="3"/>
    </row>
    <row r="38" spans="1:16" hidden="1" x14ac:dyDescent="0.15">
      <c r="F38" s="4"/>
      <c r="L38" s="3"/>
    </row>
    <row r="39" spans="1:16" hidden="1" x14ac:dyDescent="0.15">
      <c r="F39" s="4"/>
      <c r="L39" s="3"/>
    </row>
    <row r="40" spans="1:16" hidden="1" x14ac:dyDescent="0.15">
      <c r="F40" s="4"/>
      <c r="L40" s="3"/>
    </row>
    <row r="41" spans="1:16" hidden="1" x14ac:dyDescent="0.15">
      <c r="F41" s="4"/>
      <c r="L41" s="3"/>
    </row>
    <row r="42" spans="1:16" hidden="1" x14ac:dyDescent="0.15">
      <c r="F42" s="4"/>
      <c r="L42" s="3"/>
    </row>
    <row r="43" spans="1:16" hidden="1" x14ac:dyDescent="0.15">
      <c r="F43" s="4"/>
      <c r="L43" s="3"/>
    </row>
    <row r="44" spans="1:16" hidden="1" x14ac:dyDescent="0.15">
      <c r="F44" s="4"/>
      <c r="L44" s="3"/>
    </row>
    <row r="45" spans="1:16" hidden="1" x14ac:dyDescent="0.15">
      <c r="F45" s="4"/>
      <c r="L45" s="3"/>
    </row>
    <row r="46" spans="1:16" hidden="1" x14ac:dyDescent="0.15">
      <c r="F46" s="4"/>
      <c r="L46" s="3"/>
    </row>
    <row r="47" spans="1:16" hidden="1" x14ac:dyDescent="0.15">
      <c r="F47" s="4"/>
      <c r="L47" s="3"/>
    </row>
    <row r="48" spans="1:16" hidden="1" x14ac:dyDescent="0.15">
      <c r="F48" s="4"/>
      <c r="L48" s="3"/>
    </row>
    <row r="49" spans="1:16383" hidden="1" x14ac:dyDescent="0.15">
      <c r="F49" s="4"/>
    </row>
    <row r="50" spans="1:16383" s="44" customFormat="1" hidden="1" x14ac:dyDescent="0.15">
      <c r="A50" s="1"/>
      <c r="C50" s="1"/>
      <c r="D50" s="5"/>
      <c r="E50" s="5"/>
      <c r="F50" s="4"/>
      <c r="K50" s="66"/>
      <c r="L50" s="5"/>
      <c r="N50" s="12"/>
      <c r="O50" s="6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44" customFormat="1" hidden="1" x14ac:dyDescent="0.15">
      <c r="A51" s="1"/>
      <c r="C51" s="1"/>
      <c r="D51" s="5"/>
      <c r="E51" s="5"/>
      <c r="F51" s="4"/>
      <c r="K51" s="66"/>
      <c r="L51" s="5"/>
      <c r="N51" s="12"/>
      <c r="O51" s="6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44" customFormat="1" hidden="1" x14ac:dyDescent="0.15">
      <c r="A52" s="1"/>
      <c r="C52" s="1"/>
      <c r="D52" s="5"/>
      <c r="E52" s="5"/>
      <c r="F52" s="4"/>
      <c r="K52" s="66"/>
      <c r="L52" s="5"/>
      <c r="N52" s="12"/>
      <c r="O52" s="6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hidden="1" x14ac:dyDescent="0.15">
      <c r="B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6383" hidden="1" x14ac:dyDescent="0.15">
      <c r="B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6383" hidden="1" x14ac:dyDescent="0.15">
      <c r="B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6383" hidden="1" x14ac:dyDescent="0.15">
      <c r="B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6383" hidden="1" x14ac:dyDescent="0.15">
      <c r="B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6383" hidden="1" x14ac:dyDescent="0.15">
      <c r="B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6383" hidden="1" x14ac:dyDescent="0.15">
      <c r="B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6383" hidden="1" x14ac:dyDescent="0.15">
      <c r="B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6383" hidden="1" x14ac:dyDescent="0.15">
      <c r="B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6383" hidden="1" x14ac:dyDescent="0.15">
      <c r="B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6383" hidden="1" x14ac:dyDescent="0.15">
      <c r="B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</sheetData>
  <mergeCells count="1">
    <mergeCell ref="A1:O1"/>
  </mergeCells>
  <phoneticPr fontId="8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FF23D-564E-48CA-8F2F-0BD06B5E08DD}">
  <sheetPr>
    <pageSetUpPr fitToPage="1"/>
  </sheetPr>
  <dimension ref="A1:XFC49"/>
  <sheetViews>
    <sheetView topLeftCell="A12" zoomScale="60" zoomScaleNormal="60" workbookViewId="0">
      <selection activeCell="N17" sqref="N17:O17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44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182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5" t="s">
        <v>15</v>
      </c>
      <c r="C3" s="41" t="s">
        <v>186</v>
      </c>
      <c r="D3" s="33">
        <v>40109.65</v>
      </c>
      <c r="E3" s="33" t="s">
        <v>17</v>
      </c>
      <c r="F3" s="34" t="s">
        <v>17</v>
      </c>
      <c r="G3" s="35">
        <v>5237</v>
      </c>
      <c r="H3" s="36">
        <v>135</v>
      </c>
      <c r="I3" s="36">
        <f t="shared" ref="I3:I32" si="0">G3/H3</f>
        <v>38.792592592592591</v>
      </c>
      <c r="J3" s="36">
        <v>17</v>
      </c>
      <c r="K3" s="36">
        <v>1</v>
      </c>
      <c r="L3" s="33">
        <v>52794.34</v>
      </c>
      <c r="M3" s="35">
        <v>6900</v>
      </c>
      <c r="N3" s="37">
        <v>45121</v>
      </c>
      <c r="O3" s="59" t="s">
        <v>159</v>
      </c>
      <c r="P3" s="87"/>
    </row>
    <row r="4" spans="1:18" s="39" customFormat="1" ht="24.6" customHeight="1" x14ac:dyDescent="0.2">
      <c r="A4" s="31">
        <v>2</v>
      </c>
      <c r="B4" s="35" t="s">
        <v>15</v>
      </c>
      <c r="C4" s="21" t="s">
        <v>184</v>
      </c>
      <c r="D4" s="33">
        <v>30374.58</v>
      </c>
      <c r="E4" s="33" t="s">
        <v>17</v>
      </c>
      <c r="F4" s="34" t="s">
        <v>17</v>
      </c>
      <c r="G4" s="35">
        <v>5723</v>
      </c>
      <c r="H4" s="36">
        <v>166</v>
      </c>
      <c r="I4" s="36">
        <f t="shared" si="0"/>
        <v>34.475903614457835</v>
      </c>
      <c r="J4" s="36">
        <v>16</v>
      </c>
      <c r="K4" s="36">
        <v>1</v>
      </c>
      <c r="L4" s="33">
        <v>42295.22</v>
      </c>
      <c r="M4" s="35">
        <v>7940</v>
      </c>
      <c r="N4" s="37">
        <v>45121</v>
      </c>
      <c r="O4" s="59" t="s">
        <v>25</v>
      </c>
      <c r="P4" s="87"/>
    </row>
    <row r="5" spans="1:18" s="39" customFormat="1" ht="24.6" customHeight="1" x14ac:dyDescent="0.2">
      <c r="A5" s="31">
        <v>3</v>
      </c>
      <c r="B5" s="35">
        <v>1</v>
      </c>
      <c r="C5" s="41" t="s">
        <v>180</v>
      </c>
      <c r="D5" s="33">
        <v>24530.400000000001</v>
      </c>
      <c r="E5" s="33">
        <v>46010.69</v>
      </c>
      <c r="F5" s="34">
        <f t="shared" ref="F5:F11" si="1">(D5-E5)/E5</f>
        <v>-0.46685433319952385</v>
      </c>
      <c r="G5" s="35">
        <v>3359</v>
      </c>
      <c r="H5" s="36">
        <v>91</v>
      </c>
      <c r="I5" s="36">
        <f t="shared" si="0"/>
        <v>36.912087912087912</v>
      </c>
      <c r="J5" s="35">
        <v>12</v>
      </c>
      <c r="K5" s="36">
        <v>2</v>
      </c>
      <c r="L5" s="33">
        <v>116930.57</v>
      </c>
      <c r="M5" s="35">
        <v>16131</v>
      </c>
      <c r="N5" s="37">
        <v>45114</v>
      </c>
      <c r="O5" s="59" t="s">
        <v>23</v>
      </c>
      <c r="P5" s="86"/>
      <c r="R5" s="31"/>
    </row>
    <row r="6" spans="1:18" s="39" customFormat="1" ht="24.95" customHeight="1" x14ac:dyDescent="0.2">
      <c r="A6" s="31">
        <v>4</v>
      </c>
      <c r="B6" s="35">
        <v>2</v>
      </c>
      <c r="C6" s="41" t="s">
        <v>154</v>
      </c>
      <c r="D6" s="33">
        <v>12390.84</v>
      </c>
      <c r="E6" s="33">
        <v>19530.5</v>
      </c>
      <c r="F6" s="34">
        <f t="shared" si="1"/>
        <v>-0.36556462968177977</v>
      </c>
      <c r="G6" s="35">
        <v>2309</v>
      </c>
      <c r="H6" s="35">
        <v>85</v>
      </c>
      <c r="I6" s="36">
        <f t="shared" si="0"/>
        <v>27.164705882352941</v>
      </c>
      <c r="J6" s="36">
        <v>17</v>
      </c>
      <c r="K6" s="36">
        <v>5</v>
      </c>
      <c r="L6" s="33">
        <v>308979.44</v>
      </c>
      <c r="M6" s="35">
        <v>60758</v>
      </c>
      <c r="N6" s="37">
        <v>45093</v>
      </c>
      <c r="O6" s="59" t="s">
        <v>49</v>
      </c>
      <c r="P6" s="86"/>
      <c r="R6" s="31"/>
    </row>
    <row r="7" spans="1:18" s="39" customFormat="1" ht="24.6" customHeight="1" x14ac:dyDescent="0.2">
      <c r="A7" s="31">
        <v>5</v>
      </c>
      <c r="B7" s="35">
        <v>3</v>
      </c>
      <c r="C7" s="32" t="s">
        <v>174</v>
      </c>
      <c r="D7" s="33">
        <v>6935.5</v>
      </c>
      <c r="E7" s="33">
        <v>13928.88</v>
      </c>
      <c r="F7" s="34">
        <f t="shared" si="1"/>
        <v>-0.50207769756075149</v>
      </c>
      <c r="G7" s="35">
        <v>1015</v>
      </c>
      <c r="H7" s="36">
        <v>61</v>
      </c>
      <c r="I7" s="36">
        <f t="shared" si="0"/>
        <v>16.639344262295083</v>
      </c>
      <c r="J7" s="36">
        <v>11</v>
      </c>
      <c r="K7" s="36">
        <v>3</v>
      </c>
      <c r="L7" s="33">
        <v>96413.06</v>
      </c>
      <c r="M7" s="35">
        <v>14020</v>
      </c>
      <c r="N7" s="37">
        <v>45107</v>
      </c>
      <c r="O7" s="59" t="s">
        <v>49</v>
      </c>
      <c r="P7" s="86"/>
      <c r="R7" s="31"/>
    </row>
    <row r="8" spans="1:18" s="39" customFormat="1" ht="24.95" customHeight="1" x14ac:dyDescent="0.2">
      <c r="A8" s="31">
        <v>6</v>
      </c>
      <c r="B8" s="35">
        <v>6</v>
      </c>
      <c r="C8" s="41" t="s">
        <v>165</v>
      </c>
      <c r="D8" s="33">
        <v>5633.38</v>
      </c>
      <c r="E8" s="33">
        <v>7224.37</v>
      </c>
      <c r="F8" s="34">
        <f t="shared" si="1"/>
        <v>-0.22022543142170178</v>
      </c>
      <c r="G8" s="35">
        <v>785</v>
      </c>
      <c r="H8" s="36">
        <v>37</v>
      </c>
      <c r="I8" s="36">
        <f t="shared" si="0"/>
        <v>21.216216216216218</v>
      </c>
      <c r="J8" s="36">
        <v>9</v>
      </c>
      <c r="K8" s="36">
        <v>4</v>
      </c>
      <c r="L8" s="33">
        <v>110479.2</v>
      </c>
      <c r="M8" s="35">
        <v>15911</v>
      </c>
      <c r="N8" s="37">
        <v>45100</v>
      </c>
      <c r="O8" s="59" t="s">
        <v>23</v>
      </c>
      <c r="P8" s="86"/>
      <c r="R8" s="31"/>
    </row>
    <row r="9" spans="1:18" s="39" customFormat="1" ht="24.95" customHeight="1" x14ac:dyDescent="0.2">
      <c r="A9" s="31">
        <v>7</v>
      </c>
      <c r="B9" s="35">
        <v>5</v>
      </c>
      <c r="C9" s="41" t="s">
        <v>133</v>
      </c>
      <c r="D9" s="33">
        <v>5391.84</v>
      </c>
      <c r="E9" s="33">
        <v>8179.22</v>
      </c>
      <c r="F9" s="34">
        <f t="shared" si="1"/>
        <v>-0.34078799689945988</v>
      </c>
      <c r="G9" s="35">
        <v>848</v>
      </c>
      <c r="H9" s="36">
        <v>40</v>
      </c>
      <c r="I9" s="36">
        <f t="shared" si="0"/>
        <v>21.2</v>
      </c>
      <c r="J9" s="35">
        <v>8</v>
      </c>
      <c r="K9" s="36">
        <v>7</v>
      </c>
      <c r="L9" s="33">
        <v>312817.37</v>
      </c>
      <c r="M9" s="35">
        <v>52601</v>
      </c>
      <c r="N9" s="37">
        <v>45079</v>
      </c>
      <c r="O9" s="59" t="s">
        <v>23</v>
      </c>
      <c r="P9" s="86"/>
      <c r="R9" s="31"/>
    </row>
    <row r="10" spans="1:18" s="39" customFormat="1" ht="24.95" customHeight="1" x14ac:dyDescent="0.2">
      <c r="A10" s="31">
        <v>8</v>
      </c>
      <c r="B10" s="35">
        <v>4</v>
      </c>
      <c r="C10" s="41" t="s">
        <v>175</v>
      </c>
      <c r="D10" s="33">
        <v>4778.41</v>
      </c>
      <c r="E10" s="33">
        <v>8973.57</v>
      </c>
      <c r="F10" s="34">
        <f t="shared" si="1"/>
        <v>-0.46750178579985446</v>
      </c>
      <c r="G10" s="35">
        <v>958</v>
      </c>
      <c r="H10" s="36">
        <v>58</v>
      </c>
      <c r="I10" s="36">
        <f t="shared" si="0"/>
        <v>16.517241379310345</v>
      </c>
      <c r="J10" s="36">
        <v>14</v>
      </c>
      <c r="K10" s="36">
        <v>3</v>
      </c>
      <c r="L10" s="33">
        <v>67374.149999999994</v>
      </c>
      <c r="M10" s="35">
        <v>14341</v>
      </c>
      <c r="N10" s="37">
        <v>45107</v>
      </c>
      <c r="O10" s="59" t="s">
        <v>160</v>
      </c>
      <c r="P10" s="86"/>
      <c r="R10" s="31"/>
    </row>
    <row r="11" spans="1:18" s="39" customFormat="1" ht="24.95" customHeight="1" x14ac:dyDescent="0.2">
      <c r="A11" s="31">
        <v>9</v>
      </c>
      <c r="B11" s="35">
        <v>7</v>
      </c>
      <c r="C11" s="41" t="s">
        <v>144</v>
      </c>
      <c r="D11" s="33">
        <v>2998.37</v>
      </c>
      <c r="E11" s="33">
        <v>5989.57</v>
      </c>
      <c r="F11" s="34">
        <f t="shared" si="1"/>
        <v>-0.49940145953716208</v>
      </c>
      <c r="G11" s="35">
        <v>438</v>
      </c>
      <c r="H11" s="36">
        <v>22</v>
      </c>
      <c r="I11" s="36">
        <f t="shared" si="0"/>
        <v>19.90909090909091</v>
      </c>
      <c r="J11" s="35">
        <v>8</v>
      </c>
      <c r="K11" s="36">
        <v>6</v>
      </c>
      <c r="L11" s="33">
        <v>167728.06</v>
      </c>
      <c r="M11" s="35">
        <v>25795</v>
      </c>
      <c r="N11" s="37">
        <v>45086</v>
      </c>
      <c r="O11" s="59" t="s">
        <v>159</v>
      </c>
      <c r="P11" s="86"/>
      <c r="R11" s="31"/>
    </row>
    <row r="12" spans="1:18" s="39" customFormat="1" ht="24.6" customHeight="1" x14ac:dyDescent="0.2">
      <c r="A12" s="31">
        <v>10</v>
      </c>
      <c r="B12" s="35" t="s">
        <v>15</v>
      </c>
      <c r="C12" s="41" t="s">
        <v>185</v>
      </c>
      <c r="D12" s="33">
        <v>2048.48</v>
      </c>
      <c r="E12" s="33" t="s">
        <v>17</v>
      </c>
      <c r="F12" s="34" t="s">
        <v>17</v>
      </c>
      <c r="G12" s="35">
        <v>317</v>
      </c>
      <c r="H12" s="36">
        <v>17</v>
      </c>
      <c r="I12" s="36">
        <f t="shared" si="0"/>
        <v>18.647058823529413</v>
      </c>
      <c r="J12" s="36">
        <v>7</v>
      </c>
      <c r="K12" s="36">
        <v>1</v>
      </c>
      <c r="L12" s="33">
        <v>2048.48</v>
      </c>
      <c r="M12" s="35">
        <v>317</v>
      </c>
      <c r="N12" s="37">
        <v>45121</v>
      </c>
      <c r="O12" s="59" t="s">
        <v>89</v>
      </c>
      <c r="P12" s="87"/>
      <c r="R12" s="31"/>
    </row>
    <row r="13" spans="1:18" s="39" customFormat="1" ht="24.95" customHeight="1" x14ac:dyDescent="0.2">
      <c r="A13" s="31">
        <v>11</v>
      </c>
      <c r="B13" s="35">
        <v>11</v>
      </c>
      <c r="C13" s="32" t="s">
        <v>19</v>
      </c>
      <c r="D13" s="33">
        <v>1646.5</v>
      </c>
      <c r="E13" s="33">
        <v>1271.1300000000001</v>
      </c>
      <c r="F13" s="34">
        <f t="shared" ref="F13:F19" si="2">(D13-E13)/E13</f>
        <v>0.29530417817217741</v>
      </c>
      <c r="G13" s="35">
        <v>348</v>
      </c>
      <c r="H13" s="36">
        <v>17</v>
      </c>
      <c r="I13" s="36">
        <f t="shared" si="0"/>
        <v>20.470588235294116</v>
      </c>
      <c r="J13" s="35">
        <v>6</v>
      </c>
      <c r="K13" s="36">
        <v>15</v>
      </c>
      <c r="L13" s="33">
        <v>586802.46</v>
      </c>
      <c r="M13" s="35">
        <v>107988</v>
      </c>
      <c r="N13" s="37">
        <v>45023</v>
      </c>
      <c r="O13" s="59" t="s">
        <v>160</v>
      </c>
      <c r="P13" s="86"/>
      <c r="R13" s="31"/>
    </row>
    <row r="14" spans="1:18" s="39" customFormat="1" ht="24.95" customHeight="1" x14ac:dyDescent="0.2">
      <c r="A14" s="31">
        <v>12</v>
      </c>
      <c r="B14" s="35">
        <v>8</v>
      </c>
      <c r="C14" s="41" t="s">
        <v>181</v>
      </c>
      <c r="D14" s="33">
        <v>1541</v>
      </c>
      <c r="E14" s="33">
        <v>3584.35</v>
      </c>
      <c r="F14" s="34">
        <f t="shared" si="2"/>
        <v>-0.57007546696053679</v>
      </c>
      <c r="G14" s="35">
        <v>226</v>
      </c>
      <c r="H14" s="36">
        <v>22</v>
      </c>
      <c r="I14" s="36">
        <f t="shared" si="0"/>
        <v>10.272727272727273</v>
      </c>
      <c r="J14" s="35">
        <v>6</v>
      </c>
      <c r="K14" s="36">
        <v>2</v>
      </c>
      <c r="L14" s="33">
        <v>9442.83</v>
      </c>
      <c r="M14" s="35">
        <v>1530</v>
      </c>
      <c r="N14" s="37">
        <v>45114</v>
      </c>
      <c r="O14" s="59" t="s">
        <v>25</v>
      </c>
      <c r="P14" s="86"/>
      <c r="R14" s="31"/>
    </row>
    <row r="15" spans="1:18" s="39" customFormat="1" ht="24.6" customHeight="1" x14ac:dyDescent="0.2">
      <c r="A15" s="31">
        <v>13</v>
      </c>
      <c r="B15" s="35">
        <v>9</v>
      </c>
      <c r="C15" s="41" t="s">
        <v>145</v>
      </c>
      <c r="D15" s="33">
        <v>1464.78</v>
      </c>
      <c r="E15" s="33">
        <v>2229.98</v>
      </c>
      <c r="F15" s="34">
        <f t="shared" si="2"/>
        <v>-0.34314209096045706</v>
      </c>
      <c r="G15" s="35">
        <v>210</v>
      </c>
      <c r="H15" s="36">
        <v>15</v>
      </c>
      <c r="I15" s="36">
        <f t="shared" si="0"/>
        <v>14</v>
      </c>
      <c r="J15" s="35">
        <v>4</v>
      </c>
      <c r="K15" s="36">
        <v>6</v>
      </c>
      <c r="L15" s="33">
        <v>53667.5</v>
      </c>
      <c r="M15" s="35">
        <v>8636</v>
      </c>
      <c r="N15" s="37">
        <v>45086</v>
      </c>
      <c r="O15" s="59" t="s">
        <v>160</v>
      </c>
      <c r="P15" s="86"/>
      <c r="R15" s="31"/>
    </row>
    <row r="16" spans="1:18" s="39" customFormat="1" ht="24.95" customHeight="1" x14ac:dyDescent="0.2">
      <c r="A16" s="31">
        <v>14</v>
      </c>
      <c r="B16" s="35">
        <v>10</v>
      </c>
      <c r="C16" s="41" t="s">
        <v>85</v>
      </c>
      <c r="D16" s="33">
        <v>990.98</v>
      </c>
      <c r="E16" s="33">
        <v>1425.45</v>
      </c>
      <c r="F16" s="34">
        <f t="shared" si="2"/>
        <v>-0.30479497702479919</v>
      </c>
      <c r="G16" s="35">
        <v>145</v>
      </c>
      <c r="H16" s="36">
        <v>7</v>
      </c>
      <c r="I16" s="36">
        <f t="shared" si="0"/>
        <v>20.714285714285715</v>
      </c>
      <c r="J16" s="35">
        <v>3</v>
      </c>
      <c r="K16" s="36">
        <v>11</v>
      </c>
      <c r="L16" s="33">
        <v>288672.52</v>
      </c>
      <c r="M16" s="35">
        <v>41037</v>
      </c>
      <c r="N16" s="37">
        <v>45051</v>
      </c>
      <c r="O16" s="59" t="s">
        <v>49</v>
      </c>
      <c r="P16" s="86"/>
      <c r="R16" s="31"/>
    </row>
    <row r="17" spans="1:16" s="43" customFormat="1" ht="24.6" customHeight="1" x14ac:dyDescent="0.15">
      <c r="A17" s="31">
        <v>15</v>
      </c>
      <c r="B17" s="35">
        <v>12</v>
      </c>
      <c r="C17" s="32" t="s">
        <v>126</v>
      </c>
      <c r="D17" s="33">
        <v>721.77</v>
      </c>
      <c r="E17" s="33">
        <v>1062.8399999999999</v>
      </c>
      <c r="F17" s="34">
        <f t="shared" si="2"/>
        <v>-0.32090436942531325</v>
      </c>
      <c r="G17" s="35">
        <v>119</v>
      </c>
      <c r="H17" s="36">
        <v>8</v>
      </c>
      <c r="I17" s="36">
        <f t="shared" si="0"/>
        <v>14.875</v>
      </c>
      <c r="J17" s="35">
        <v>3</v>
      </c>
      <c r="K17" s="36">
        <v>8</v>
      </c>
      <c r="L17" s="33">
        <v>91690.84</v>
      </c>
      <c r="M17" s="35">
        <v>17453</v>
      </c>
      <c r="N17" s="37">
        <v>45072</v>
      </c>
      <c r="O17" s="59" t="s">
        <v>49</v>
      </c>
      <c r="P17" s="86"/>
    </row>
    <row r="18" spans="1:16" s="43" customFormat="1" ht="24.6" customHeight="1" x14ac:dyDescent="0.15">
      <c r="A18" s="31">
        <v>16</v>
      </c>
      <c r="B18" s="35">
        <v>14</v>
      </c>
      <c r="C18" s="41" t="s">
        <v>136</v>
      </c>
      <c r="D18" s="33">
        <v>696.87</v>
      </c>
      <c r="E18" s="33">
        <v>650.77</v>
      </c>
      <c r="F18" s="34">
        <f t="shared" si="2"/>
        <v>7.0839159764586601E-2</v>
      </c>
      <c r="G18" s="35">
        <v>101</v>
      </c>
      <c r="H18" s="36">
        <v>5</v>
      </c>
      <c r="I18" s="36">
        <f t="shared" si="0"/>
        <v>20.2</v>
      </c>
      <c r="J18" s="35">
        <v>2</v>
      </c>
      <c r="K18" s="36">
        <v>7</v>
      </c>
      <c r="L18" s="33">
        <v>75052.289999999994</v>
      </c>
      <c r="M18" s="35">
        <v>12029</v>
      </c>
      <c r="N18" s="37">
        <v>45079</v>
      </c>
      <c r="O18" s="59" t="s">
        <v>49</v>
      </c>
      <c r="P18" s="86"/>
    </row>
    <row r="19" spans="1:16" s="43" customFormat="1" ht="24.6" customHeight="1" x14ac:dyDescent="0.2">
      <c r="A19" s="31">
        <v>17</v>
      </c>
      <c r="B19" s="35">
        <v>21</v>
      </c>
      <c r="C19" s="21" t="s">
        <v>134</v>
      </c>
      <c r="D19" s="15">
        <v>305.5</v>
      </c>
      <c r="E19" s="33">
        <v>152.5</v>
      </c>
      <c r="F19" s="34">
        <f t="shared" si="2"/>
        <v>1.0032786885245901</v>
      </c>
      <c r="G19" s="17">
        <v>144</v>
      </c>
      <c r="H19" s="18">
        <v>6</v>
      </c>
      <c r="I19" s="18">
        <f t="shared" si="0"/>
        <v>24</v>
      </c>
      <c r="J19" s="17">
        <v>2</v>
      </c>
      <c r="K19" s="34" t="s">
        <v>17</v>
      </c>
      <c r="L19" s="33">
        <v>324011.24</v>
      </c>
      <c r="M19" s="35">
        <v>69345</v>
      </c>
      <c r="N19" s="37">
        <v>44771</v>
      </c>
      <c r="O19" s="68" t="s">
        <v>21</v>
      </c>
      <c r="P19" s="87"/>
    </row>
    <row r="20" spans="1:16" s="43" customFormat="1" ht="24.6" customHeight="1" x14ac:dyDescent="0.2">
      <c r="A20" s="31">
        <v>18</v>
      </c>
      <c r="B20" s="16" t="s">
        <v>17</v>
      </c>
      <c r="C20" s="41" t="s">
        <v>45</v>
      </c>
      <c r="D20" s="33">
        <v>243</v>
      </c>
      <c r="E20" s="33" t="s">
        <v>17</v>
      </c>
      <c r="F20" s="34" t="s">
        <v>17</v>
      </c>
      <c r="G20" s="35">
        <v>94</v>
      </c>
      <c r="H20" s="36">
        <v>6</v>
      </c>
      <c r="I20" s="36">
        <f t="shared" si="0"/>
        <v>15.666666666666666</v>
      </c>
      <c r="J20" s="36">
        <v>2</v>
      </c>
      <c r="K20" s="36" t="s">
        <v>17</v>
      </c>
      <c r="L20" s="33">
        <v>1045476.39</v>
      </c>
      <c r="M20" s="35">
        <v>194613</v>
      </c>
      <c r="N20" s="37">
        <v>44916</v>
      </c>
      <c r="O20" s="59" t="s">
        <v>160</v>
      </c>
      <c r="P20" s="89" t="s">
        <v>46</v>
      </c>
    </row>
    <row r="21" spans="1:16" s="43" customFormat="1" ht="24.6" customHeight="1" x14ac:dyDescent="0.2">
      <c r="A21" s="31">
        <v>19</v>
      </c>
      <c r="B21" s="35">
        <v>16</v>
      </c>
      <c r="C21" s="32" t="s">
        <v>16</v>
      </c>
      <c r="D21" s="33">
        <v>242.5</v>
      </c>
      <c r="E21" s="33">
        <v>502.27</v>
      </c>
      <c r="F21" s="34">
        <f>(D21-E21)/E21</f>
        <v>-0.51719194855356676</v>
      </c>
      <c r="G21" s="35">
        <v>52</v>
      </c>
      <c r="H21" s="36">
        <v>9</v>
      </c>
      <c r="I21" s="36">
        <f t="shared" si="0"/>
        <v>5.7777777777777777</v>
      </c>
      <c r="J21" s="35">
        <v>3</v>
      </c>
      <c r="K21" s="36">
        <v>13</v>
      </c>
      <c r="L21" s="33">
        <v>248345.91</v>
      </c>
      <c r="M21" s="35">
        <v>49509</v>
      </c>
      <c r="N21" s="37">
        <v>45037</v>
      </c>
      <c r="O21" s="59" t="s">
        <v>18</v>
      </c>
      <c r="P21" s="87"/>
    </row>
    <row r="22" spans="1:16" s="43" customFormat="1" ht="24.6" customHeight="1" x14ac:dyDescent="0.2">
      <c r="A22" s="31">
        <v>20</v>
      </c>
      <c r="B22" s="16" t="s">
        <v>17</v>
      </c>
      <c r="C22" s="41" t="s">
        <v>78</v>
      </c>
      <c r="D22" s="33">
        <v>236</v>
      </c>
      <c r="E22" s="33" t="s">
        <v>17</v>
      </c>
      <c r="F22" s="34" t="s">
        <v>17</v>
      </c>
      <c r="G22" s="35">
        <v>35</v>
      </c>
      <c r="H22" s="36">
        <v>1</v>
      </c>
      <c r="I22" s="36">
        <f t="shared" si="0"/>
        <v>35</v>
      </c>
      <c r="J22" s="36">
        <v>1</v>
      </c>
      <c r="K22" s="34" t="s">
        <v>17</v>
      </c>
      <c r="L22" s="33">
        <v>9992</v>
      </c>
      <c r="M22" s="35">
        <v>1807</v>
      </c>
      <c r="N22" s="37">
        <v>45012</v>
      </c>
      <c r="O22" s="59" t="s">
        <v>73</v>
      </c>
      <c r="P22" s="87"/>
    </row>
    <row r="23" spans="1:16" s="43" customFormat="1" ht="24.6" customHeight="1" x14ac:dyDescent="0.2">
      <c r="A23" s="31">
        <v>21</v>
      </c>
      <c r="B23" s="35">
        <v>17</v>
      </c>
      <c r="C23" s="32" t="s">
        <v>42</v>
      </c>
      <c r="D23" s="33">
        <v>223.7</v>
      </c>
      <c r="E23" s="33">
        <v>257.89999999999998</v>
      </c>
      <c r="F23" s="34">
        <f>(D23-E23)/E23</f>
        <v>-0.13260953858084526</v>
      </c>
      <c r="G23" s="35">
        <v>31</v>
      </c>
      <c r="H23" s="36">
        <v>3</v>
      </c>
      <c r="I23" s="36">
        <f t="shared" si="0"/>
        <v>10.333333333333334</v>
      </c>
      <c r="J23" s="35">
        <v>1</v>
      </c>
      <c r="K23" s="36">
        <v>20</v>
      </c>
      <c r="L23" s="33">
        <v>238653.83000000007</v>
      </c>
      <c r="M23" s="35">
        <v>37420</v>
      </c>
      <c r="N23" s="37">
        <v>44988</v>
      </c>
      <c r="O23" s="59" t="s">
        <v>43</v>
      </c>
      <c r="P23" s="87"/>
    </row>
    <row r="24" spans="1:16" ht="24.6" customHeight="1" x14ac:dyDescent="0.2">
      <c r="A24" s="31">
        <v>22</v>
      </c>
      <c r="B24" s="35">
        <v>18</v>
      </c>
      <c r="C24" s="41" t="s">
        <v>62</v>
      </c>
      <c r="D24" s="45">
        <v>208.5</v>
      </c>
      <c r="E24" s="45">
        <v>214.75</v>
      </c>
      <c r="F24" s="34">
        <f>(D24-E24)/E24</f>
        <v>-2.9103608847497089E-2</v>
      </c>
      <c r="G24" s="46">
        <v>85</v>
      </c>
      <c r="H24" s="36">
        <v>9</v>
      </c>
      <c r="I24" s="36">
        <f t="shared" si="0"/>
        <v>9.4444444444444446</v>
      </c>
      <c r="J24" s="35">
        <v>3</v>
      </c>
      <c r="K24" s="36">
        <v>12</v>
      </c>
      <c r="L24" s="45">
        <v>44826.439999999995</v>
      </c>
      <c r="M24" s="46">
        <v>9212</v>
      </c>
      <c r="N24" s="37">
        <v>45044</v>
      </c>
      <c r="O24" s="59" t="s">
        <v>33</v>
      </c>
      <c r="P24" s="87"/>
    </row>
    <row r="25" spans="1:16" s="43" customFormat="1" ht="24.6" customHeight="1" x14ac:dyDescent="0.2">
      <c r="A25" s="31">
        <v>23</v>
      </c>
      <c r="B25" s="34" t="s">
        <v>17</v>
      </c>
      <c r="C25" s="41" t="s">
        <v>135</v>
      </c>
      <c r="D25" s="33">
        <v>165</v>
      </c>
      <c r="E25" s="33" t="s">
        <v>17</v>
      </c>
      <c r="F25" s="34" t="s">
        <v>17</v>
      </c>
      <c r="G25" s="35">
        <v>82</v>
      </c>
      <c r="H25" s="36">
        <v>6</v>
      </c>
      <c r="I25" s="36">
        <f t="shared" si="0"/>
        <v>13.666666666666666</v>
      </c>
      <c r="J25" s="36">
        <v>2</v>
      </c>
      <c r="K25" s="36" t="s">
        <v>17</v>
      </c>
      <c r="L25" s="33">
        <v>186245.54</v>
      </c>
      <c r="M25" s="35">
        <v>37031</v>
      </c>
      <c r="N25" s="37">
        <v>44869</v>
      </c>
      <c r="O25" s="67" t="s">
        <v>23</v>
      </c>
      <c r="P25" s="87"/>
    </row>
    <row r="26" spans="1:16" s="43" customFormat="1" ht="24.6" customHeight="1" x14ac:dyDescent="0.15">
      <c r="A26" s="31">
        <v>24</v>
      </c>
      <c r="B26" s="35">
        <v>13</v>
      </c>
      <c r="C26" s="41" t="s">
        <v>114</v>
      </c>
      <c r="D26" s="33">
        <v>141.5</v>
      </c>
      <c r="E26" s="33">
        <v>779.84</v>
      </c>
      <c r="F26" s="34">
        <f>(D26-E26)/E26</f>
        <v>-0.81855252359458353</v>
      </c>
      <c r="G26" s="35">
        <v>20</v>
      </c>
      <c r="H26" s="36">
        <v>3</v>
      </c>
      <c r="I26" s="36">
        <f t="shared" si="0"/>
        <v>6.666666666666667</v>
      </c>
      <c r="J26" s="35">
        <v>1</v>
      </c>
      <c r="K26" s="36">
        <v>9</v>
      </c>
      <c r="L26" s="33">
        <v>345386.5</v>
      </c>
      <c r="M26" s="35">
        <v>48240</v>
      </c>
      <c r="N26" s="37">
        <v>45065</v>
      </c>
      <c r="O26" s="59" t="s">
        <v>160</v>
      </c>
      <c r="P26" s="86"/>
    </row>
    <row r="27" spans="1:16" s="43" customFormat="1" ht="24.6" customHeight="1" x14ac:dyDescent="0.2">
      <c r="A27" s="31">
        <v>25</v>
      </c>
      <c r="B27" s="35">
        <v>25</v>
      </c>
      <c r="C27" s="41" t="s">
        <v>115</v>
      </c>
      <c r="D27" s="33">
        <v>109.1</v>
      </c>
      <c r="E27" s="33">
        <v>29.4</v>
      </c>
      <c r="F27" s="34">
        <f>(D27-E27)/E27</f>
        <v>2.7108843537414962</v>
      </c>
      <c r="G27" s="35">
        <v>15</v>
      </c>
      <c r="H27" s="36">
        <v>1</v>
      </c>
      <c r="I27" s="36">
        <f t="shared" si="0"/>
        <v>15</v>
      </c>
      <c r="J27" s="35">
        <v>1</v>
      </c>
      <c r="K27" s="36">
        <v>9</v>
      </c>
      <c r="L27" s="33">
        <v>8385.1</v>
      </c>
      <c r="M27" s="35">
        <v>1472</v>
      </c>
      <c r="N27" s="37">
        <v>45065</v>
      </c>
      <c r="O27" s="59" t="s">
        <v>49</v>
      </c>
      <c r="P27" s="87"/>
    </row>
    <row r="28" spans="1:16" s="43" customFormat="1" ht="24.6" customHeight="1" x14ac:dyDescent="0.2">
      <c r="A28" s="31">
        <v>26</v>
      </c>
      <c r="B28" s="16" t="s">
        <v>17</v>
      </c>
      <c r="C28" s="21" t="s">
        <v>72</v>
      </c>
      <c r="D28" s="15">
        <v>96</v>
      </c>
      <c r="E28" s="15" t="s">
        <v>17</v>
      </c>
      <c r="F28" s="16" t="s">
        <v>17</v>
      </c>
      <c r="G28" s="17">
        <v>14</v>
      </c>
      <c r="H28" s="18">
        <v>1</v>
      </c>
      <c r="I28" s="18">
        <f t="shared" si="0"/>
        <v>14</v>
      </c>
      <c r="J28" s="17">
        <v>1</v>
      </c>
      <c r="K28" s="16" t="s">
        <v>17</v>
      </c>
      <c r="L28" s="15">
        <v>56683</v>
      </c>
      <c r="M28" s="17">
        <v>7540</v>
      </c>
      <c r="N28" s="19">
        <v>45012</v>
      </c>
      <c r="O28" s="68" t="s">
        <v>73</v>
      </c>
      <c r="P28" s="87"/>
    </row>
    <row r="29" spans="1:16" s="43" customFormat="1" ht="24.6" customHeight="1" x14ac:dyDescent="0.2">
      <c r="A29" s="31">
        <v>27</v>
      </c>
      <c r="B29" s="16" t="s">
        <v>17</v>
      </c>
      <c r="C29" s="41" t="s">
        <v>74</v>
      </c>
      <c r="D29" s="33">
        <v>57.3</v>
      </c>
      <c r="E29" s="33" t="s">
        <v>17</v>
      </c>
      <c r="F29" s="34" t="s">
        <v>17</v>
      </c>
      <c r="G29" s="35">
        <v>8</v>
      </c>
      <c r="H29" s="36">
        <v>2</v>
      </c>
      <c r="I29" s="36">
        <f t="shared" si="0"/>
        <v>4</v>
      </c>
      <c r="J29" s="36">
        <v>1</v>
      </c>
      <c r="K29" s="34" t="s">
        <v>17</v>
      </c>
      <c r="L29" s="33">
        <v>45925</v>
      </c>
      <c r="M29" s="35">
        <v>5399</v>
      </c>
      <c r="N29" s="37">
        <v>45012</v>
      </c>
      <c r="O29" s="59" t="s">
        <v>73</v>
      </c>
      <c r="P29" s="87"/>
    </row>
    <row r="30" spans="1:16" s="43" customFormat="1" ht="24.6" customHeight="1" x14ac:dyDescent="0.2">
      <c r="A30" s="31">
        <v>28</v>
      </c>
      <c r="B30" s="35">
        <v>24</v>
      </c>
      <c r="C30" s="32" t="s">
        <v>90</v>
      </c>
      <c r="D30" s="33">
        <v>49.9</v>
      </c>
      <c r="E30" s="33">
        <v>48.2</v>
      </c>
      <c r="F30" s="34">
        <f>(D30-E30)/E30</f>
        <v>3.5269709543568374E-2</v>
      </c>
      <c r="G30" s="35">
        <v>7</v>
      </c>
      <c r="H30" s="36">
        <v>1</v>
      </c>
      <c r="I30" s="36">
        <f t="shared" si="0"/>
        <v>7</v>
      </c>
      <c r="J30" s="35">
        <v>1</v>
      </c>
      <c r="K30" s="34" t="s">
        <v>17</v>
      </c>
      <c r="L30" s="33">
        <v>41219.580000000009</v>
      </c>
      <c r="M30" s="35">
        <v>6979</v>
      </c>
      <c r="N30" s="37">
        <v>44678</v>
      </c>
      <c r="O30" s="59" t="s">
        <v>33</v>
      </c>
      <c r="P30" s="87"/>
    </row>
    <row r="31" spans="1:16" s="43" customFormat="1" ht="24.6" customHeight="1" x14ac:dyDescent="0.2">
      <c r="A31" s="31">
        <v>29</v>
      </c>
      <c r="B31" s="16" t="s">
        <v>17</v>
      </c>
      <c r="C31" s="41" t="s">
        <v>79</v>
      </c>
      <c r="D31" s="33">
        <v>41.1</v>
      </c>
      <c r="E31" s="33" t="s">
        <v>17</v>
      </c>
      <c r="F31" s="34" t="s">
        <v>17</v>
      </c>
      <c r="G31" s="35">
        <v>6</v>
      </c>
      <c r="H31" s="35">
        <v>2</v>
      </c>
      <c r="I31" s="36">
        <f t="shared" si="0"/>
        <v>3</v>
      </c>
      <c r="J31" s="36">
        <v>2</v>
      </c>
      <c r="K31" s="36" t="s">
        <v>17</v>
      </c>
      <c r="L31" s="33">
        <v>9504</v>
      </c>
      <c r="M31" s="35">
        <v>1652</v>
      </c>
      <c r="N31" s="37">
        <v>45012</v>
      </c>
      <c r="O31" s="59" t="s">
        <v>73</v>
      </c>
      <c r="P31" s="87"/>
    </row>
    <row r="32" spans="1:16" s="43" customFormat="1" ht="24.6" customHeight="1" x14ac:dyDescent="0.2">
      <c r="A32" s="31">
        <v>30</v>
      </c>
      <c r="B32" s="35">
        <v>19</v>
      </c>
      <c r="C32" s="41" t="s">
        <v>173</v>
      </c>
      <c r="D32" s="33">
        <v>29.6</v>
      </c>
      <c r="E32" s="33">
        <v>190</v>
      </c>
      <c r="F32" s="34">
        <f>(D32-E32)/E32</f>
        <v>-0.84421052631578952</v>
      </c>
      <c r="G32" s="35">
        <v>4</v>
      </c>
      <c r="H32" s="36">
        <v>1</v>
      </c>
      <c r="I32" s="36">
        <f t="shared" si="0"/>
        <v>4</v>
      </c>
      <c r="J32" s="36">
        <v>1</v>
      </c>
      <c r="K32" s="36">
        <v>4</v>
      </c>
      <c r="L32" s="33">
        <v>892</v>
      </c>
      <c r="M32" s="35">
        <v>158</v>
      </c>
      <c r="N32" s="37">
        <v>45106</v>
      </c>
      <c r="O32" s="59" t="s">
        <v>30</v>
      </c>
      <c r="P32" s="87"/>
    </row>
    <row r="33" spans="1:16383" s="51" customFormat="1" ht="24" customHeight="1" x14ac:dyDescent="0.2">
      <c r="B33" s="78"/>
      <c r="C33" s="77" t="s">
        <v>93</v>
      </c>
      <c r="D33" s="52">
        <f>SUBTOTAL(109,Table1324567891011121314[Pajamos 
(GBO)])</f>
        <v>144402.05000000002</v>
      </c>
      <c r="E33" s="52" t="s">
        <v>183</v>
      </c>
      <c r="F33" s="81">
        <f t="shared" ref="F33" si="3">(D33-E33)/E33</f>
        <v>0.17191382822454343</v>
      </c>
      <c r="G33" s="78">
        <f>SUBTOTAL(109,Table1324567891011121314[Žiūrovų sk. 
(ADM)])</f>
        <v>22735</v>
      </c>
      <c r="H33" s="70"/>
      <c r="I33" s="70"/>
      <c r="J33" s="70"/>
      <c r="K33" s="70"/>
      <c r="L33" s="52"/>
      <c r="M33" s="78"/>
      <c r="N33" s="53"/>
      <c r="O33" s="79" t="s">
        <v>56</v>
      </c>
      <c r="P33" s="85"/>
    </row>
    <row r="34" spans="1:16383" ht="11.25" hidden="1" x14ac:dyDescent="0.15">
      <c r="F34" s="4"/>
      <c r="L34" s="3"/>
    </row>
    <row r="35" spans="1:16383" ht="11.25" hidden="1" x14ac:dyDescent="0.15">
      <c r="F35" s="4"/>
      <c r="L35" s="3"/>
    </row>
    <row r="36" spans="1:16383" ht="11.25" hidden="1" x14ac:dyDescent="0.15">
      <c r="F36" s="4"/>
      <c r="L36" s="3"/>
    </row>
    <row r="37" spans="1:16383" ht="11.25" hidden="1" x14ac:dyDescent="0.15">
      <c r="F37" s="4"/>
      <c r="L37" s="3"/>
    </row>
    <row r="38" spans="1:16383" ht="11.25" hidden="1" x14ac:dyDescent="0.15">
      <c r="F38" s="4"/>
      <c r="L38" s="3"/>
    </row>
    <row r="39" spans="1:16383" ht="11.25" hidden="1" x14ac:dyDescent="0.15">
      <c r="F39" s="4"/>
      <c r="L39" s="3"/>
    </row>
    <row r="40" spans="1:16383" ht="11.25" hidden="1" x14ac:dyDescent="0.15">
      <c r="F40" s="4"/>
      <c r="L40" s="3"/>
    </row>
    <row r="41" spans="1:16383" ht="11.25" hidden="1" x14ac:dyDescent="0.15">
      <c r="F41" s="4"/>
      <c r="L41" s="3"/>
    </row>
    <row r="42" spans="1:16383" ht="11.25" hidden="1" x14ac:dyDescent="0.15">
      <c r="F42" s="4"/>
      <c r="L42" s="3"/>
    </row>
    <row r="43" spans="1:16383" ht="11.25" hidden="1" x14ac:dyDescent="0.15">
      <c r="F43" s="4"/>
      <c r="L43" s="3"/>
    </row>
    <row r="44" spans="1:16383" ht="11.25" hidden="1" x14ac:dyDescent="0.15">
      <c r="F44" s="4"/>
      <c r="L44" s="3"/>
    </row>
    <row r="45" spans="1:16383" ht="11.25" hidden="1" x14ac:dyDescent="0.15">
      <c r="F45" s="4"/>
      <c r="L45" s="3"/>
    </row>
    <row r="46" spans="1:16383" ht="11.25" hidden="1" x14ac:dyDescent="0.15">
      <c r="F46" s="4"/>
    </row>
    <row r="47" spans="1:16383" s="44" customFormat="1" ht="11.25" hidden="1" x14ac:dyDescent="0.15">
      <c r="A47" s="1"/>
      <c r="C47" s="1"/>
      <c r="D47" s="5"/>
      <c r="E47" s="5"/>
      <c r="F47" s="4"/>
      <c r="K47" s="66"/>
      <c r="L47" s="5"/>
      <c r="N47" s="12"/>
      <c r="O47" s="6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44" customFormat="1" ht="11.25" hidden="1" x14ac:dyDescent="0.15">
      <c r="A48" s="1"/>
      <c r="C48" s="1"/>
      <c r="D48" s="5"/>
      <c r="E48" s="5"/>
      <c r="F48" s="4"/>
      <c r="K48" s="66"/>
      <c r="L48" s="5"/>
      <c r="N48" s="12"/>
      <c r="O48" s="6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44" customFormat="1" ht="11.25" hidden="1" x14ac:dyDescent="0.15">
      <c r="A49" s="1"/>
      <c r="C49" s="1"/>
      <c r="D49" s="5"/>
      <c r="E49" s="5"/>
      <c r="F49" s="4"/>
      <c r="K49" s="66"/>
      <c r="L49" s="5"/>
      <c r="N49" s="12"/>
      <c r="O49" s="6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35969-F645-412A-9997-7281F368265A}">
  <sheetPr>
    <pageSetUpPr fitToPage="1"/>
  </sheetPr>
  <dimension ref="A1:XFC49"/>
  <sheetViews>
    <sheetView topLeftCell="A14" zoomScale="60" zoomScaleNormal="60" workbookViewId="0">
      <selection activeCell="N30" sqref="N30:O30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177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13">
        <v>1</v>
      </c>
      <c r="B3" s="36" t="s">
        <v>15</v>
      </c>
      <c r="C3" s="21" t="s">
        <v>180</v>
      </c>
      <c r="D3" s="15">
        <v>46010.69</v>
      </c>
      <c r="E3" s="34" t="s">
        <v>17</v>
      </c>
      <c r="F3" s="34" t="s">
        <v>17</v>
      </c>
      <c r="G3" s="17">
        <v>6004</v>
      </c>
      <c r="H3" s="18">
        <v>111</v>
      </c>
      <c r="I3" s="18">
        <f t="shared" ref="I3:I32" si="0">G3/H3</f>
        <v>54.090090090090094</v>
      </c>
      <c r="J3" s="17">
        <v>13</v>
      </c>
      <c r="K3" s="18">
        <v>1</v>
      </c>
      <c r="L3" s="33">
        <v>60433.26</v>
      </c>
      <c r="M3" s="35">
        <v>7778</v>
      </c>
      <c r="N3" s="37">
        <v>45114</v>
      </c>
      <c r="O3" s="68" t="s">
        <v>23</v>
      </c>
    </row>
    <row r="4" spans="1:18" s="39" customFormat="1" ht="24.6" customHeight="1" x14ac:dyDescent="0.2">
      <c r="A4" s="31">
        <v>2</v>
      </c>
      <c r="B4" s="31">
        <v>2</v>
      </c>
      <c r="C4" s="41" t="s">
        <v>154</v>
      </c>
      <c r="D4" s="33">
        <v>19530.5</v>
      </c>
      <c r="E4" s="33">
        <v>34707.58</v>
      </c>
      <c r="F4" s="34">
        <f t="shared" ref="F4:F9" si="1">(D4-E4)/E4</f>
        <v>-0.43728430504229915</v>
      </c>
      <c r="G4" s="35">
        <v>3447</v>
      </c>
      <c r="H4" s="35">
        <v>131</v>
      </c>
      <c r="I4" s="36">
        <f t="shared" si="0"/>
        <v>26.31297709923664</v>
      </c>
      <c r="J4" s="36">
        <v>20</v>
      </c>
      <c r="K4" s="36">
        <v>4</v>
      </c>
      <c r="L4" s="33">
        <v>276583.31</v>
      </c>
      <c r="M4" s="35">
        <v>54351</v>
      </c>
      <c r="N4" s="37">
        <v>45093</v>
      </c>
      <c r="O4" s="59" t="s">
        <v>49</v>
      </c>
    </row>
    <row r="5" spans="1:18" s="39" customFormat="1" ht="24.6" customHeight="1" x14ac:dyDescent="0.2">
      <c r="A5" s="13">
        <v>3</v>
      </c>
      <c r="B5" s="31">
        <v>1</v>
      </c>
      <c r="C5" s="32" t="s">
        <v>174</v>
      </c>
      <c r="D5" s="33">
        <v>13928.88</v>
      </c>
      <c r="E5" s="33">
        <v>38248.94</v>
      </c>
      <c r="F5" s="34">
        <f t="shared" si="1"/>
        <v>-0.6358361826497676</v>
      </c>
      <c r="G5" s="35">
        <v>1912</v>
      </c>
      <c r="H5" s="36">
        <v>103</v>
      </c>
      <c r="I5" s="36">
        <f t="shared" si="0"/>
        <v>18.563106796116504</v>
      </c>
      <c r="J5" s="36">
        <v>13</v>
      </c>
      <c r="K5" s="36">
        <v>2</v>
      </c>
      <c r="L5" s="33">
        <v>79042.55</v>
      </c>
      <c r="M5" s="35">
        <v>11252</v>
      </c>
      <c r="N5" s="37">
        <v>45107</v>
      </c>
      <c r="O5" s="59" t="s">
        <v>49</v>
      </c>
      <c r="R5" s="31"/>
    </row>
    <row r="6" spans="1:18" s="39" customFormat="1" ht="24.95" customHeight="1" x14ac:dyDescent="0.2">
      <c r="A6" s="31">
        <v>4</v>
      </c>
      <c r="B6" s="31">
        <v>3</v>
      </c>
      <c r="C6" s="41" t="s">
        <v>175</v>
      </c>
      <c r="D6" s="33">
        <v>8973.57</v>
      </c>
      <c r="E6" s="33">
        <v>21397.29</v>
      </c>
      <c r="F6" s="34">
        <f t="shared" si="1"/>
        <v>-0.58062119081435082</v>
      </c>
      <c r="G6" s="35">
        <v>1888</v>
      </c>
      <c r="H6" s="36">
        <v>111</v>
      </c>
      <c r="I6" s="36">
        <f t="shared" si="0"/>
        <v>17.009009009009009</v>
      </c>
      <c r="J6" s="36">
        <v>17</v>
      </c>
      <c r="K6" s="36">
        <v>2</v>
      </c>
      <c r="L6" s="33">
        <v>49985.95</v>
      </c>
      <c r="M6" s="35">
        <v>10481</v>
      </c>
      <c r="N6" s="37">
        <v>45107</v>
      </c>
      <c r="O6" s="59" t="s">
        <v>160</v>
      </c>
      <c r="R6" s="31"/>
    </row>
    <row r="7" spans="1:18" s="39" customFormat="1" ht="24.6" customHeight="1" x14ac:dyDescent="0.2">
      <c r="A7" s="13">
        <v>5</v>
      </c>
      <c r="B7" s="31">
        <v>5</v>
      </c>
      <c r="C7" s="41" t="s">
        <v>133</v>
      </c>
      <c r="D7" s="33">
        <v>8179.22</v>
      </c>
      <c r="E7" s="33">
        <v>13809.66</v>
      </c>
      <c r="F7" s="34">
        <f t="shared" si="1"/>
        <v>-0.40771749630331228</v>
      </c>
      <c r="G7" s="35">
        <v>1300</v>
      </c>
      <c r="H7" s="36">
        <v>52</v>
      </c>
      <c r="I7" s="36">
        <f t="shared" si="0"/>
        <v>25</v>
      </c>
      <c r="J7" s="35">
        <v>9</v>
      </c>
      <c r="K7" s="36">
        <v>6</v>
      </c>
      <c r="L7" s="33">
        <v>298916.28999999998</v>
      </c>
      <c r="M7" s="35">
        <v>50140</v>
      </c>
      <c r="N7" s="37">
        <v>45079</v>
      </c>
      <c r="O7" s="59" t="s">
        <v>23</v>
      </c>
      <c r="R7" s="31"/>
    </row>
    <row r="8" spans="1:18" s="39" customFormat="1" ht="24.95" customHeight="1" x14ac:dyDescent="0.2">
      <c r="A8" s="31">
        <v>6</v>
      </c>
      <c r="B8" s="31">
        <v>4</v>
      </c>
      <c r="C8" s="41" t="s">
        <v>165</v>
      </c>
      <c r="D8" s="33">
        <v>7224.37</v>
      </c>
      <c r="E8" s="33">
        <v>20124.3</v>
      </c>
      <c r="F8" s="34">
        <f t="shared" si="1"/>
        <v>-0.6410126066496723</v>
      </c>
      <c r="G8" s="35">
        <v>1038</v>
      </c>
      <c r="H8" s="36">
        <v>58</v>
      </c>
      <c r="I8" s="36">
        <f t="shared" si="0"/>
        <v>17.896551724137932</v>
      </c>
      <c r="J8" s="36">
        <v>9</v>
      </c>
      <c r="K8" s="36">
        <v>3</v>
      </c>
      <c r="L8" s="33">
        <v>97635.73</v>
      </c>
      <c r="M8" s="35">
        <v>13871</v>
      </c>
      <c r="N8" s="37">
        <v>45100</v>
      </c>
      <c r="O8" s="59" t="s">
        <v>23</v>
      </c>
      <c r="R8" s="31"/>
    </row>
    <row r="9" spans="1:18" s="39" customFormat="1" ht="24.95" customHeight="1" x14ac:dyDescent="0.2">
      <c r="A9" s="13">
        <v>7</v>
      </c>
      <c r="B9" s="31">
        <v>6</v>
      </c>
      <c r="C9" s="41" t="s">
        <v>144</v>
      </c>
      <c r="D9" s="33">
        <v>5989.57</v>
      </c>
      <c r="E9" s="33">
        <v>11711.08</v>
      </c>
      <c r="F9" s="34">
        <f t="shared" si="1"/>
        <v>-0.48855528268955556</v>
      </c>
      <c r="G9" s="35">
        <v>871</v>
      </c>
      <c r="H9" s="36">
        <v>38</v>
      </c>
      <c r="I9" s="36">
        <f t="shared" si="0"/>
        <v>22.921052631578949</v>
      </c>
      <c r="J9" s="35">
        <v>10</v>
      </c>
      <c r="K9" s="36">
        <v>5</v>
      </c>
      <c r="L9" s="33">
        <v>159017.31</v>
      </c>
      <c r="M9" s="35">
        <v>24334</v>
      </c>
      <c r="N9" s="37">
        <v>45086</v>
      </c>
      <c r="O9" s="59" t="s">
        <v>159</v>
      </c>
      <c r="R9" s="31"/>
    </row>
    <row r="10" spans="1:18" s="39" customFormat="1" ht="24.95" customHeight="1" x14ac:dyDescent="0.2">
      <c r="A10" s="31">
        <v>8</v>
      </c>
      <c r="B10" s="36" t="s">
        <v>15</v>
      </c>
      <c r="C10" s="21" t="s">
        <v>181</v>
      </c>
      <c r="D10" s="15">
        <v>3584.35</v>
      </c>
      <c r="E10" s="34" t="s">
        <v>17</v>
      </c>
      <c r="F10" s="34" t="s">
        <v>17</v>
      </c>
      <c r="G10" s="17">
        <v>539</v>
      </c>
      <c r="H10" s="18">
        <v>67</v>
      </c>
      <c r="I10" s="18">
        <f t="shared" si="0"/>
        <v>8.0447761194029859</v>
      </c>
      <c r="J10" s="17">
        <v>13</v>
      </c>
      <c r="K10" s="18">
        <v>1</v>
      </c>
      <c r="L10" s="33">
        <v>4230.1000000000004</v>
      </c>
      <c r="M10" s="35">
        <v>638</v>
      </c>
      <c r="N10" s="37">
        <v>45114</v>
      </c>
      <c r="O10" s="68" t="s">
        <v>25</v>
      </c>
      <c r="R10" s="31"/>
    </row>
    <row r="11" spans="1:18" s="39" customFormat="1" ht="24.95" customHeight="1" x14ac:dyDescent="0.2">
      <c r="A11" s="13">
        <v>9</v>
      </c>
      <c r="B11" s="31">
        <v>9</v>
      </c>
      <c r="C11" s="41" t="s">
        <v>145</v>
      </c>
      <c r="D11" s="33">
        <v>2229.98</v>
      </c>
      <c r="E11" s="33">
        <v>3448.85</v>
      </c>
      <c r="F11" s="34">
        <f t="shared" ref="F11:F22" si="2">(D11-E11)/E11</f>
        <v>-0.35341345665946616</v>
      </c>
      <c r="G11" s="35">
        <v>328</v>
      </c>
      <c r="H11" s="36">
        <v>24</v>
      </c>
      <c r="I11" s="36">
        <f t="shared" si="0"/>
        <v>13.666666666666666</v>
      </c>
      <c r="J11" s="35">
        <v>6</v>
      </c>
      <c r="K11" s="36">
        <v>5</v>
      </c>
      <c r="L11" s="33">
        <v>50444</v>
      </c>
      <c r="M11" s="35">
        <v>8131</v>
      </c>
      <c r="N11" s="37">
        <v>45086</v>
      </c>
      <c r="O11" s="59" t="s">
        <v>160</v>
      </c>
      <c r="R11" s="31"/>
    </row>
    <row r="12" spans="1:18" s="39" customFormat="1" ht="24.6" customHeight="1" x14ac:dyDescent="0.2">
      <c r="A12" s="31">
        <v>10</v>
      </c>
      <c r="B12" s="31">
        <v>11</v>
      </c>
      <c r="C12" s="41" t="s">
        <v>85</v>
      </c>
      <c r="D12" s="33">
        <v>1425.45</v>
      </c>
      <c r="E12" s="33">
        <v>3317.65</v>
      </c>
      <c r="F12" s="34">
        <f t="shared" si="2"/>
        <v>-0.57034346600756558</v>
      </c>
      <c r="G12" s="35">
        <v>214</v>
      </c>
      <c r="H12" s="36">
        <v>8</v>
      </c>
      <c r="I12" s="36">
        <f t="shared" si="0"/>
        <v>26.75</v>
      </c>
      <c r="J12" s="35">
        <v>3</v>
      </c>
      <c r="K12" s="36">
        <v>10</v>
      </c>
      <c r="L12" s="33">
        <v>286353.59000000003</v>
      </c>
      <c r="M12" s="35">
        <v>40619</v>
      </c>
      <c r="N12" s="37">
        <v>45051</v>
      </c>
      <c r="O12" s="59" t="s">
        <v>49</v>
      </c>
      <c r="R12" s="31"/>
    </row>
    <row r="13" spans="1:18" s="39" customFormat="1" ht="24.95" customHeight="1" x14ac:dyDescent="0.2">
      <c r="A13" s="13">
        <v>11</v>
      </c>
      <c r="B13" s="31">
        <v>10</v>
      </c>
      <c r="C13" s="32" t="s">
        <v>19</v>
      </c>
      <c r="D13" s="33">
        <v>1271.1300000000001</v>
      </c>
      <c r="E13" s="33">
        <v>3338.9</v>
      </c>
      <c r="F13" s="34">
        <f t="shared" si="2"/>
        <v>-0.61929677438677411</v>
      </c>
      <c r="G13" s="35">
        <v>240</v>
      </c>
      <c r="H13" s="36">
        <v>18</v>
      </c>
      <c r="I13" s="36">
        <f t="shared" si="0"/>
        <v>13.333333333333334</v>
      </c>
      <c r="J13" s="35">
        <v>6</v>
      </c>
      <c r="K13" s="36">
        <v>14</v>
      </c>
      <c r="L13" s="33">
        <v>583337.19999999995</v>
      </c>
      <c r="M13" s="35">
        <v>107211</v>
      </c>
      <c r="N13" s="37">
        <v>45023</v>
      </c>
      <c r="O13" s="59" t="s">
        <v>160</v>
      </c>
      <c r="R13" s="31"/>
    </row>
    <row r="14" spans="1:18" s="39" customFormat="1" ht="24.95" customHeight="1" x14ac:dyDescent="0.2">
      <c r="A14" s="31">
        <v>12</v>
      </c>
      <c r="B14" s="31">
        <v>12</v>
      </c>
      <c r="C14" s="32" t="s">
        <v>126</v>
      </c>
      <c r="D14" s="33">
        <v>1062.8399999999999</v>
      </c>
      <c r="E14" s="33">
        <v>2918.03</v>
      </c>
      <c r="F14" s="34">
        <f t="shared" si="2"/>
        <v>-0.63576796674468739</v>
      </c>
      <c r="G14" s="35">
        <v>190</v>
      </c>
      <c r="H14" s="36">
        <v>11</v>
      </c>
      <c r="I14" s="36">
        <f t="shared" si="0"/>
        <v>17.272727272727273</v>
      </c>
      <c r="J14" s="35">
        <v>3</v>
      </c>
      <c r="K14" s="36">
        <v>7</v>
      </c>
      <c r="L14" s="33">
        <v>89519.46</v>
      </c>
      <c r="M14" s="35">
        <v>17016</v>
      </c>
      <c r="N14" s="37">
        <v>45072</v>
      </c>
      <c r="O14" s="59" t="s">
        <v>49</v>
      </c>
      <c r="R14" s="31"/>
    </row>
    <row r="15" spans="1:18" s="39" customFormat="1" ht="24.6" customHeight="1" x14ac:dyDescent="0.2">
      <c r="A15" s="13">
        <v>13</v>
      </c>
      <c r="B15" s="31">
        <v>13</v>
      </c>
      <c r="C15" s="41" t="s">
        <v>114</v>
      </c>
      <c r="D15" s="33">
        <v>779.84</v>
      </c>
      <c r="E15" s="33">
        <v>2247.94</v>
      </c>
      <c r="F15" s="34">
        <f t="shared" si="2"/>
        <v>-0.65308682616084057</v>
      </c>
      <c r="G15" s="35">
        <v>115</v>
      </c>
      <c r="H15" s="36">
        <v>6</v>
      </c>
      <c r="I15" s="36">
        <f t="shared" si="0"/>
        <v>19.166666666666668</v>
      </c>
      <c r="J15" s="35">
        <v>2</v>
      </c>
      <c r="K15" s="36">
        <v>8</v>
      </c>
      <c r="L15" s="33">
        <v>344679.83</v>
      </c>
      <c r="M15" s="35">
        <v>48089</v>
      </c>
      <c r="N15" s="37">
        <v>45065</v>
      </c>
      <c r="O15" s="59" t="s">
        <v>160</v>
      </c>
      <c r="R15" s="31"/>
    </row>
    <row r="16" spans="1:18" s="39" customFormat="1" ht="24.95" customHeight="1" x14ac:dyDescent="0.2">
      <c r="A16" s="31">
        <v>14</v>
      </c>
      <c r="B16" s="31">
        <v>7</v>
      </c>
      <c r="C16" s="41" t="s">
        <v>136</v>
      </c>
      <c r="D16" s="33">
        <v>650.77</v>
      </c>
      <c r="E16" s="33">
        <v>4472.78</v>
      </c>
      <c r="F16" s="34">
        <f t="shared" si="2"/>
        <v>-0.8545043574689567</v>
      </c>
      <c r="G16" s="35">
        <v>89</v>
      </c>
      <c r="H16" s="36">
        <v>8</v>
      </c>
      <c r="I16" s="36">
        <f t="shared" si="0"/>
        <v>11.125</v>
      </c>
      <c r="J16" s="35">
        <v>2</v>
      </c>
      <c r="K16" s="36">
        <v>6</v>
      </c>
      <c r="L16" s="33">
        <v>73383.16</v>
      </c>
      <c r="M16" s="35">
        <v>11732</v>
      </c>
      <c r="N16" s="37">
        <v>45079</v>
      </c>
      <c r="O16" s="59" t="s">
        <v>49</v>
      </c>
      <c r="R16" s="31"/>
    </row>
    <row r="17" spans="1:15" s="43" customFormat="1" ht="24.6" customHeight="1" x14ac:dyDescent="0.15">
      <c r="A17" s="13">
        <v>15</v>
      </c>
      <c r="B17" s="31">
        <v>8</v>
      </c>
      <c r="C17" s="41" t="s">
        <v>150</v>
      </c>
      <c r="D17" s="33">
        <v>607.42999999999995</v>
      </c>
      <c r="E17" s="33">
        <v>4177.3900000000003</v>
      </c>
      <c r="F17" s="34">
        <f t="shared" si="2"/>
        <v>-0.85459102453924585</v>
      </c>
      <c r="G17" s="35">
        <v>99</v>
      </c>
      <c r="H17" s="36">
        <v>6</v>
      </c>
      <c r="I17" s="36">
        <f t="shared" si="0"/>
        <v>16.5</v>
      </c>
      <c r="J17" s="35">
        <v>2</v>
      </c>
      <c r="K17" s="36">
        <v>4</v>
      </c>
      <c r="L17" s="33">
        <v>61622.45</v>
      </c>
      <c r="M17" s="35">
        <v>9750</v>
      </c>
      <c r="N17" s="37">
        <v>45093</v>
      </c>
      <c r="O17" s="59" t="s">
        <v>21</v>
      </c>
    </row>
    <row r="18" spans="1:15" s="43" customFormat="1" ht="24.6" customHeight="1" x14ac:dyDescent="0.15">
      <c r="A18" s="31">
        <v>16</v>
      </c>
      <c r="B18" s="31">
        <v>14</v>
      </c>
      <c r="C18" s="32" t="s">
        <v>16</v>
      </c>
      <c r="D18" s="33">
        <v>502.27</v>
      </c>
      <c r="E18" s="33">
        <v>680.15</v>
      </c>
      <c r="F18" s="34">
        <f t="shared" si="2"/>
        <v>-0.26153054473277954</v>
      </c>
      <c r="G18" s="35">
        <v>104</v>
      </c>
      <c r="H18" s="36">
        <v>10</v>
      </c>
      <c r="I18" s="36">
        <f t="shared" si="0"/>
        <v>10.4</v>
      </c>
      <c r="J18" s="35">
        <v>3</v>
      </c>
      <c r="K18" s="36">
        <v>12</v>
      </c>
      <c r="L18" s="33">
        <v>247725.31</v>
      </c>
      <c r="M18" s="35">
        <v>49379</v>
      </c>
      <c r="N18" s="37">
        <v>45037</v>
      </c>
      <c r="O18" s="59" t="s">
        <v>18</v>
      </c>
    </row>
    <row r="19" spans="1:15" s="43" customFormat="1" ht="24.6" customHeight="1" x14ac:dyDescent="0.15">
      <c r="A19" s="13">
        <v>17</v>
      </c>
      <c r="B19" s="31">
        <v>17</v>
      </c>
      <c r="C19" s="32" t="s">
        <v>42</v>
      </c>
      <c r="D19" s="33">
        <v>257.89999999999998</v>
      </c>
      <c r="E19" s="33">
        <v>403.6</v>
      </c>
      <c r="F19" s="34">
        <f t="shared" si="2"/>
        <v>-0.36100099108027761</v>
      </c>
      <c r="G19" s="35">
        <v>36</v>
      </c>
      <c r="H19" s="36">
        <v>4</v>
      </c>
      <c r="I19" s="36">
        <f t="shared" si="0"/>
        <v>9</v>
      </c>
      <c r="J19" s="35">
        <v>1</v>
      </c>
      <c r="K19" s="36">
        <v>19</v>
      </c>
      <c r="L19" s="33">
        <v>238335.83000000007</v>
      </c>
      <c r="M19" s="35">
        <v>37376</v>
      </c>
      <c r="N19" s="37">
        <v>44988</v>
      </c>
      <c r="O19" s="59" t="s">
        <v>43</v>
      </c>
    </row>
    <row r="20" spans="1:15" s="43" customFormat="1" ht="24.6" customHeight="1" x14ac:dyDescent="0.15">
      <c r="A20" s="31">
        <v>18</v>
      </c>
      <c r="B20" s="31">
        <v>22</v>
      </c>
      <c r="C20" s="41" t="s">
        <v>62</v>
      </c>
      <c r="D20" s="45">
        <v>214.75</v>
      </c>
      <c r="E20" s="45">
        <v>162.5</v>
      </c>
      <c r="F20" s="34">
        <f t="shared" si="2"/>
        <v>0.32153846153846155</v>
      </c>
      <c r="G20" s="46">
        <v>66</v>
      </c>
      <c r="H20" s="36">
        <v>11</v>
      </c>
      <c r="I20" s="36">
        <f t="shared" si="0"/>
        <v>6</v>
      </c>
      <c r="J20" s="35">
        <v>4</v>
      </c>
      <c r="K20" s="36">
        <v>11</v>
      </c>
      <c r="L20" s="45">
        <v>44272.639999999992</v>
      </c>
      <c r="M20" s="46">
        <v>9009</v>
      </c>
      <c r="N20" s="37">
        <v>45044</v>
      </c>
      <c r="O20" s="59" t="s">
        <v>33</v>
      </c>
    </row>
    <row r="21" spans="1:15" s="43" customFormat="1" ht="24.6" customHeight="1" x14ac:dyDescent="0.15">
      <c r="A21" s="13">
        <v>19</v>
      </c>
      <c r="B21" s="31">
        <v>24</v>
      </c>
      <c r="C21" s="41" t="s">
        <v>173</v>
      </c>
      <c r="D21" s="33">
        <v>190</v>
      </c>
      <c r="E21" s="33">
        <v>133.19999999999999</v>
      </c>
      <c r="F21" s="34">
        <f t="shared" si="2"/>
        <v>0.42642642642642653</v>
      </c>
      <c r="G21" s="35">
        <v>40</v>
      </c>
      <c r="H21" s="36">
        <v>5</v>
      </c>
      <c r="I21" s="36">
        <f t="shared" si="0"/>
        <v>8</v>
      </c>
      <c r="J21" s="36">
        <v>3</v>
      </c>
      <c r="K21" s="36">
        <v>3</v>
      </c>
      <c r="L21" s="33">
        <v>829.6</v>
      </c>
      <c r="M21" s="35">
        <v>147</v>
      </c>
      <c r="N21" s="37">
        <v>45106</v>
      </c>
      <c r="O21" s="59" t="s">
        <v>30</v>
      </c>
    </row>
    <row r="22" spans="1:15" s="43" customFormat="1" ht="24.6" customHeight="1" x14ac:dyDescent="0.15">
      <c r="A22" s="31">
        <v>20</v>
      </c>
      <c r="B22" s="31">
        <v>21</v>
      </c>
      <c r="C22" s="41" t="s">
        <v>54</v>
      </c>
      <c r="D22" s="33">
        <v>166.72</v>
      </c>
      <c r="E22" s="33">
        <v>263.5</v>
      </c>
      <c r="F22" s="34">
        <f t="shared" si="2"/>
        <v>-0.36728652751423152</v>
      </c>
      <c r="G22" s="35">
        <v>37</v>
      </c>
      <c r="H22" s="36">
        <v>6</v>
      </c>
      <c r="I22" s="36">
        <f t="shared" si="0"/>
        <v>6.166666666666667</v>
      </c>
      <c r="J22" s="36">
        <v>3</v>
      </c>
      <c r="K22" s="34" t="s">
        <v>17</v>
      </c>
      <c r="L22" s="33">
        <v>72982.69</v>
      </c>
      <c r="M22" s="35">
        <v>15343</v>
      </c>
      <c r="N22" s="37">
        <v>44981</v>
      </c>
      <c r="O22" s="59" t="s">
        <v>33</v>
      </c>
    </row>
    <row r="23" spans="1:15" s="43" customFormat="1" ht="24.6" customHeight="1" x14ac:dyDescent="0.15">
      <c r="A23" s="13">
        <v>21</v>
      </c>
      <c r="B23" s="34" t="s">
        <v>17</v>
      </c>
      <c r="C23" s="21" t="s">
        <v>134</v>
      </c>
      <c r="D23" s="15">
        <v>152.5</v>
      </c>
      <c r="E23" s="34" t="s">
        <v>17</v>
      </c>
      <c r="F23" s="34" t="s">
        <v>17</v>
      </c>
      <c r="G23" s="17">
        <v>61</v>
      </c>
      <c r="H23" s="18">
        <v>6</v>
      </c>
      <c r="I23" s="18">
        <f t="shared" si="0"/>
        <v>10.166666666666666</v>
      </c>
      <c r="J23" s="17">
        <v>2</v>
      </c>
      <c r="K23" s="34" t="s">
        <v>17</v>
      </c>
      <c r="L23" s="33">
        <v>323423.24</v>
      </c>
      <c r="M23" s="35">
        <v>69088</v>
      </c>
      <c r="N23" s="37">
        <v>44771</v>
      </c>
      <c r="O23" s="68" t="s">
        <v>21</v>
      </c>
    </row>
    <row r="24" spans="1:15" s="43" customFormat="1" ht="24.6" customHeight="1" x14ac:dyDescent="0.15">
      <c r="A24" s="31">
        <v>22</v>
      </c>
      <c r="B24" s="31">
        <v>23</v>
      </c>
      <c r="C24" s="41" t="s">
        <v>130</v>
      </c>
      <c r="D24" s="33">
        <v>72.599999999999994</v>
      </c>
      <c r="E24" s="33">
        <v>146.19999999999999</v>
      </c>
      <c r="F24" s="34">
        <f>(D24-E24)/E24</f>
        <v>-0.50341997264021887</v>
      </c>
      <c r="G24" s="35">
        <v>10</v>
      </c>
      <c r="H24" s="36">
        <v>2</v>
      </c>
      <c r="I24" s="36">
        <f t="shared" si="0"/>
        <v>5</v>
      </c>
      <c r="J24" s="36">
        <v>1</v>
      </c>
      <c r="K24" s="36">
        <v>6</v>
      </c>
      <c r="L24" s="33">
        <v>8108.82</v>
      </c>
      <c r="M24" s="35">
        <v>1258</v>
      </c>
      <c r="N24" s="37">
        <v>45078</v>
      </c>
      <c r="O24" s="59" t="s">
        <v>33</v>
      </c>
    </row>
    <row r="25" spans="1:15" s="43" customFormat="1" ht="24.6" customHeight="1" x14ac:dyDescent="0.15">
      <c r="A25" s="13">
        <v>23</v>
      </c>
      <c r="B25" s="36" t="s">
        <v>15</v>
      </c>
      <c r="C25" s="41" t="s">
        <v>179</v>
      </c>
      <c r="D25" s="33">
        <v>67.2</v>
      </c>
      <c r="E25" s="34" t="s">
        <v>17</v>
      </c>
      <c r="F25" s="34" t="s">
        <v>17</v>
      </c>
      <c r="G25" s="35">
        <v>11</v>
      </c>
      <c r="H25" s="36">
        <v>15</v>
      </c>
      <c r="I25" s="36">
        <f t="shared" si="0"/>
        <v>0.73333333333333328</v>
      </c>
      <c r="J25" s="35">
        <v>4</v>
      </c>
      <c r="K25" s="36">
        <v>1</v>
      </c>
      <c r="L25" s="33">
        <v>67.2</v>
      </c>
      <c r="M25" s="35">
        <v>11</v>
      </c>
      <c r="N25" s="37">
        <v>45114</v>
      </c>
      <c r="O25" s="59" t="s">
        <v>53</v>
      </c>
    </row>
    <row r="26" spans="1:15" s="43" customFormat="1" ht="24.6" customHeight="1" x14ac:dyDescent="0.15">
      <c r="A26" s="31">
        <v>24</v>
      </c>
      <c r="B26" s="31">
        <v>27</v>
      </c>
      <c r="C26" s="32" t="s">
        <v>90</v>
      </c>
      <c r="D26" s="33">
        <v>48.2</v>
      </c>
      <c r="E26" s="33">
        <v>96.2</v>
      </c>
      <c r="F26" s="34">
        <f t="shared" ref="F26:F32" si="3">(D26-E26)/E26</f>
        <v>-0.49896049896049893</v>
      </c>
      <c r="G26" s="35">
        <v>7</v>
      </c>
      <c r="H26" s="36">
        <v>1</v>
      </c>
      <c r="I26" s="36">
        <f t="shared" si="0"/>
        <v>7</v>
      </c>
      <c r="J26" s="35">
        <v>1</v>
      </c>
      <c r="K26" s="34" t="s">
        <v>17</v>
      </c>
      <c r="L26" s="33">
        <v>41169.680000000008</v>
      </c>
      <c r="M26" s="35">
        <v>6972</v>
      </c>
      <c r="N26" s="37">
        <v>44678</v>
      </c>
      <c r="O26" s="59" t="s">
        <v>33</v>
      </c>
    </row>
    <row r="27" spans="1:15" s="43" customFormat="1" ht="24.6" customHeight="1" x14ac:dyDescent="0.15">
      <c r="A27" s="13">
        <v>25</v>
      </c>
      <c r="B27" s="31">
        <v>19</v>
      </c>
      <c r="C27" s="41" t="s">
        <v>115</v>
      </c>
      <c r="D27" s="33">
        <v>29.4</v>
      </c>
      <c r="E27" s="33">
        <v>341.3</v>
      </c>
      <c r="F27" s="34">
        <f t="shared" si="3"/>
        <v>-0.91385877527102266</v>
      </c>
      <c r="G27" s="35">
        <v>7</v>
      </c>
      <c r="H27" s="36">
        <v>1</v>
      </c>
      <c r="I27" s="36">
        <f t="shared" si="0"/>
        <v>7</v>
      </c>
      <c r="J27" s="35">
        <v>1</v>
      </c>
      <c r="K27" s="36">
        <v>8</v>
      </c>
      <c r="L27" s="33">
        <v>8222.5</v>
      </c>
      <c r="M27" s="35">
        <v>1447</v>
      </c>
      <c r="N27" s="37">
        <v>45065</v>
      </c>
      <c r="O27" s="59" t="s">
        <v>49</v>
      </c>
    </row>
    <row r="28" spans="1:15" s="43" customFormat="1" ht="24.6" customHeight="1" x14ac:dyDescent="0.15">
      <c r="A28" s="31">
        <v>26</v>
      </c>
      <c r="B28" s="31">
        <v>35</v>
      </c>
      <c r="C28" s="41" t="s">
        <v>151</v>
      </c>
      <c r="D28" s="33">
        <v>22.5</v>
      </c>
      <c r="E28" s="33">
        <v>18.5</v>
      </c>
      <c r="F28" s="34">
        <f t="shared" si="3"/>
        <v>0.21621621621621623</v>
      </c>
      <c r="G28" s="35">
        <v>6</v>
      </c>
      <c r="H28" s="36">
        <v>2</v>
      </c>
      <c r="I28" s="36">
        <f t="shared" si="0"/>
        <v>3</v>
      </c>
      <c r="J28" s="35">
        <v>1</v>
      </c>
      <c r="K28" s="36">
        <v>4</v>
      </c>
      <c r="L28" s="33">
        <v>9349.08</v>
      </c>
      <c r="M28" s="35">
        <v>1715</v>
      </c>
      <c r="N28" s="37">
        <v>45093</v>
      </c>
      <c r="O28" s="59" t="s">
        <v>25</v>
      </c>
    </row>
    <row r="29" spans="1:15" s="43" customFormat="1" ht="24.6" customHeight="1" x14ac:dyDescent="0.15">
      <c r="A29" s="13">
        <v>27</v>
      </c>
      <c r="B29" s="31">
        <v>30</v>
      </c>
      <c r="C29" s="41" t="s">
        <v>120</v>
      </c>
      <c r="D29" s="33">
        <v>13.5</v>
      </c>
      <c r="E29" s="33">
        <v>42</v>
      </c>
      <c r="F29" s="34">
        <f t="shared" si="3"/>
        <v>-0.6785714285714286</v>
      </c>
      <c r="G29" s="35">
        <v>4</v>
      </c>
      <c r="H29" s="36">
        <v>1</v>
      </c>
      <c r="I29" s="36">
        <f t="shared" si="0"/>
        <v>4</v>
      </c>
      <c r="J29" s="36">
        <v>1</v>
      </c>
      <c r="K29" s="34" t="s">
        <v>17</v>
      </c>
      <c r="L29" s="33">
        <v>22027.09</v>
      </c>
      <c r="M29" s="35">
        <v>3521</v>
      </c>
      <c r="N29" s="37">
        <v>44939</v>
      </c>
      <c r="O29" s="59" t="s">
        <v>30</v>
      </c>
    </row>
    <row r="30" spans="1:15" s="43" customFormat="1" ht="24.6" customHeight="1" x14ac:dyDescent="0.15">
      <c r="A30" s="31">
        <v>28</v>
      </c>
      <c r="B30" s="31">
        <v>15</v>
      </c>
      <c r="C30" s="41" t="s">
        <v>131</v>
      </c>
      <c r="D30" s="33">
        <v>13</v>
      </c>
      <c r="E30" s="33">
        <v>517.99</v>
      </c>
      <c r="F30" s="34">
        <f t="shared" si="3"/>
        <v>-0.97490299040522022</v>
      </c>
      <c r="G30" s="35">
        <v>4</v>
      </c>
      <c r="H30" s="36">
        <v>1</v>
      </c>
      <c r="I30" s="36">
        <f t="shared" si="0"/>
        <v>4</v>
      </c>
      <c r="J30" s="36">
        <v>1</v>
      </c>
      <c r="K30" s="34" t="s">
        <v>17</v>
      </c>
      <c r="L30" s="33">
        <v>169897.58</v>
      </c>
      <c r="M30" s="35">
        <v>35144</v>
      </c>
      <c r="N30" s="37">
        <v>44925</v>
      </c>
      <c r="O30" s="59" t="s">
        <v>33</v>
      </c>
    </row>
    <row r="31" spans="1:15" s="43" customFormat="1" ht="24.6" customHeight="1" x14ac:dyDescent="0.15">
      <c r="A31" s="13">
        <v>29</v>
      </c>
      <c r="B31" s="31">
        <v>28</v>
      </c>
      <c r="C31" s="41" t="s">
        <v>118</v>
      </c>
      <c r="D31" s="33">
        <v>11.85</v>
      </c>
      <c r="E31" s="33">
        <v>51.9</v>
      </c>
      <c r="F31" s="34">
        <f t="shared" si="3"/>
        <v>-0.7716763005780346</v>
      </c>
      <c r="G31" s="35">
        <v>3</v>
      </c>
      <c r="H31" s="36">
        <v>1</v>
      </c>
      <c r="I31" s="36">
        <f t="shared" si="0"/>
        <v>3</v>
      </c>
      <c r="J31" s="35">
        <v>1</v>
      </c>
      <c r="K31" s="36">
        <v>7</v>
      </c>
      <c r="L31" s="33">
        <v>7337.05</v>
      </c>
      <c r="M31" s="35">
        <v>1770</v>
      </c>
      <c r="N31" s="37">
        <v>45072</v>
      </c>
      <c r="O31" s="59" t="s">
        <v>30</v>
      </c>
    </row>
    <row r="32" spans="1:15" s="43" customFormat="1" ht="24.6" customHeight="1" x14ac:dyDescent="0.15">
      <c r="A32" s="31">
        <v>30</v>
      </c>
      <c r="B32" s="31">
        <v>34</v>
      </c>
      <c r="C32" s="41" t="s">
        <v>163</v>
      </c>
      <c r="D32" s="33">
        <v>8</v>
      </c>
      <c r="E32" s="33">
        <v>19</v>
      </c>
      <c r="F32" s="34">
        <f t="shared" si="3"/>
        <v>-0.57894736842105265</v>
      </c>
      <c r="G32" s="35">
        <v>2</v>
      </c>
      <c r="H32" s="36">
        <v>1</v>
      </c>
      <c r="I32" s="36">
        <f t="shared" si="0"/>
        <v>2</v>
      </c>
      <c r="J32" s="36">
        <v>1</v>
      </c>
      <c r="K32" s="34" t="s">
        <v>17</v>
      </c>
      <c r="L32" s="33">
        <v>44780.789999999986</v>
      </c>
      <c r="M32" s="35">
        <v>7317</v>
      </c>
      <c r="N32" s="37">
        <v>44932</v>
      </c>
      <c r="O32" s="59" t="s">
        <v>33</v>
      </c>
    </row>
    <row r="33" spans="1:16383" s="51" customFormat="1" ht="24" customHeight="1" x14ac:dyDescent="0.2">
      <c r="B33" s="84"/>
      <c r="C33" s="77" t="s">
        <v>93</v>
      </c>
      <c r="D33" s="52">
        <f>SUBTOTAL(109,Table13245678910111213[Pajamos 
(GBO)])</f>
        <v>123218.98000000001</v>
      </c>
      <c r="E33" s="52" t="s">
        <v>178</v>
      </c>
      <c r="F33" s="81">
        <f t="shared" ref="F33" si="4">(D33-E33)/E33</f>
        <v>-0.26770008855185029</v>
      </c>
      <c r="G33" s="78">
        <f>SUBTOTAL(109,Table13245678910111213[Žiūrovų sk. 
(ADM)])</f>
        <v>18672</v>
      </c>
      <c r="H33" s="70"/>
      <c r="I33" s="70"/>
      <c r="J33" s="70"/>
      <c r="K33" s="70"/>
      <c r="L33" s="52"/>
      <c r="M33" s="78"/>
      <c r="N33" s="53"/>
      <c r="O33" s="79" t="s">
        <v>56</v>
      </c>
    </row>
    <row r="34" spans="1:16383" ht="11.25" hidden="1" x14ac:dyDescent="0.15">
      <c r="F34" s="4"/>
      <c r="L34" s="3"/>
    </row>
    <row r="35" spans="1:16383" ht="11.25" hidden="1" x14ac:dyDescent="0.15">
      <c r="F35" s="4"/>
      <c r="L35" s="3"/>
    </row>
    <row r="36" spans="1:16383" ht="11.25" hidden="1" x14ac:dyDescent="0.15">
      <c r="F36" s="4"/>
      <c r="L36" s="3"/>
    </row>
    <row r="37" spans="1:16383" ht="11.25" hidden="1" x14ac:dyDescent="0.15">
      <c r="F37" s="4"/>
      <c r="L37" s="3"/>
    </row>
    <row r="38" spans="1:16383" ht="11.25" hidden="1" x14ac:dyDescent="0.15">
      <c r="F38" s="4"/>
      <c r="L38" s="3"/>
    </row>
    <row r="39" spans="1:16383" ht="11.25" hidden="1" x14ac:dyDescent="0.15">
      <c r="F39" s="4"/>
      <c r="L39" s="3"/>
    </row>
    <row r="40" spans="1:16383" ht="11.25" hidden="1" x14ac:dyDescent="0.15">
      <c r="F40" s="4"/>
      <c r="L40" s="3"/>
    </row>
    <row r="41" spans="1:16383" ht="11.25" hidden="1" x14ac:dyDescent="0.15">
      <c r="F41" s="4"/>
      <c r="L41" s="3"/>
    </row>
    <row r="42" spans="1:16383" ht="11.25" hidden="1" x14ac:dyDescent="0.15">
      <c r="F42" s="4"/>
      <c r="L42" s="3"/>
    </row>
    <row r="43" spans="1:16383" ht="11.25" hidden="1" x14ac:dyDescent="0.15">
      <c r="F43" s="4"/>
      <c r="L43" s="3"/>
    </row>
    <row r="44" spans="1:16383" ht="11.25" hidden="1" x14ac:dyDescent="0.15">
      <c r="F44" s="4"/>
      <c r="L44" s="3"/>
    </row>
    <row r="45" spans="1:16383" ht="11.25" hidden="1" x14ac:dyDescent="0.15">
      <c r="F45" s="4"/>
      <c r="L45" s="3"/>
    </row>
    <row r="46" spans="1:16383" ht="11.25" hidden="1" x14ac:dyDescent="0.15">
      <c r="F46" s="4"/>
    </row>
    <row r="47" spans="1:16383" s="44" customFormat="1" ht="11.25" hidden="1" x14ac:dyDescent="0.15">
      <c r="A47" s="1"/>
      <c r="B47" s="66"/>
      <c r="C47" s="1"/>
      <c r="D47" s="5"/>
      <c r="E47" s="5"/>
      <c r="F47" s="4"/>
      <c r="K47" s="66"/>
      <c r="L47" s="5"/>
      <c r="N47" s="12"/>
      <c r="O47" s="6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44" customFormat="1" ht="11.25" hidden="1" x14ac:dyDescent="0.15">
      <c r="A48" s="1"/>
      <c r="B48" s="66"/>
      <c r="C48" s="1"/>
      <c r="D48" s="5"/>
      <c r="E48" s="5"/>
      <c r="F48" s="4"/>
      <c r="K48" s="66"/>
      <c r="L48" s="5"/>
      <c r="N48" s="12"/>
      <c r="O48" s="6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44" customFormat="1" ht="11.25" hidden="1" x14ac:dyDescent="0.15">
      <c r="A49" s="1"/>
      <c r="B49" s="66"/>
      <c r="C49" s="1"/>
      <c r="D49" s="5"/>
      <c r="E49" s="5"/>
      <c r="F49" s="4"/>
      <c r="K49" s="66"/>
      <c r="L49" s="5"/>
      <c r="N49" s="12"/>
      <c r="O49" s="6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FEE1C-1C95-47F9-A22F-220BD05C8408}">
  <sheetPr>
    <pageSetUpPr fitToPage="1"/>
  </sheetPr>
  <dimension ref="A1:XFC54"/>
  <sheetViews>
    <sheetView zoomScale="60" zoomScaleNormal="60" workbookViewId="0">
      <selection activeCell="M21" sqref="M21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172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2" customFormat="1" ht="24.95" customHeight="1" x14ac:dyDescent="0.2">
      <c r="A3" s="13">
        <v>1</v>
      </c>
      <c r="B3" s="18" t="s">
        <v>15</v>
      </c>
      <c r="C3" s="14" t="s">
        <v>174</v>
      </c>
      <c r="D3" s="15">
        <v>38248.94</v>
      </c>
      <c r="E3" s="15" t="s">
        <v>17</v>
      </c>
      <c r="F3" s="16" t="s">
        <v>17</v>
      </c>
      <c r="G3" s="17">
        <v>5121</v>
      </c>
      <c r="H3" s="18">
        <v>141</v>
      </c>
      <c r="I3" s="18">
        <f>G3/H3</f>
        <v>36.319148936170215</v>
      </c>
      <c r="J3" s="18">
        <v>16</v>
      </c>
      <c r="K3" s="18">
        <v>1</v>
      </c>
      <c r="L3" s="15">
        <v>40997</v>
      </c>
      <c r="M3" s="17">
        <v>5501</v>
      </c>
      <c r="N3" s="19">
        <v>45107</v>
      </c>
      <c r="O3" s="68" t="s">
        <v>49</v>
      </c>
    </row>
    <row r="4" spans="1:18" s="2" customFormat="1" ht="24.6" customHeight="1" x14ac:dyDescent="0.2">
      <c r="A4" s="13">
        <v>2</v>
      </c>
      <c r="B4" s="13">
        <v>1</v>
      </c>
      <c r="C4" s="21" t="s">
        <v>154</v>
      </c>
      <c r="D4" s="15">
        <v>34707.58</v>
      </c>
      <c r="E4" s="15">
        <v>28325.52</v>
      </c>
      <c r="F4" s="16">
        <f>(D4-E4)/E4</f>
        <v>0.22531130937755076</v>
      </c>
      <c r="G4" s="17">
        <v>6176</v>
      </c>
      <c r="H4" s="17">
        <v>147</v>
      </c>
      <c r="I4" s="18">
        <f t="shared" ref="I4:I37" si="0">G4/H4</f>
        <v>42.013605442176868</v>
      </c>
      <c r="J4" s="18">
        <v>22</v>
      </c>
      <c r="K4" s="18">
        <v>3</v>
      </c>
      <c r="L4" s="15">
        <v>222498.97</v>
      </c>
      <c r="M4" s="17">
        <v>44151</v>
      </c>
      <c r="N4" s="19">
        <v>45093</v>
      </c>
      <c r="O4" s="68" t="s">
        <v>49</v>
      </c>
    </row>
    <row r="5" spans="1:18" s="2" customFormat="1" ht="24.95" customHeight="1" x14ac:dyDescent="0.2">
      <c r="A5" s="13">
        <v>3</v>
      </c>
      <c r="B5" s="18" t="s">
        <v>15</v>
      </c>
      <c r="C5" s="21" t="s">
        <v>175</v>
      </c>
      <c r="D5" s="15">
        <v>21397.29</v>
      </c>
      <c r="E5" s="15" t="s">
        <v>17</v>
      </c>
      <c r="F5" s="16" t="s">
        <v>17</v>
      </c>
      <c r="G5" s="17">
        <v>4241</v>
      </c>
      <c r="H5" s="18">
        <v>135</v>
      </c>
      <c r="I5" s="18">
        <f t="shared" si="0"/>
        <v>31.414814814814815</v>
      </c>
      <c r="J5" s="18">
        <v>19</v>
      </c>
      <c r="K5" s="18">
        <v>1</v>
      </c>
      <c r="L5" s="15">
        <v>22376.07</v>
      </c>
      <c r="M5" s="17">
        <v>4436</v>
      </c>
      <c r="N5" s="19">
        <v>45107</v>
      </c>
      <c r="O5" s="68" t="s">
        <v>160</v>
      </c>
      <c r="R5" s="13"/>
    </row>
    <row r="6" spans="1:18" s="2" customFormat="1" ht="24.95" customHeight="1" x14ac:dyDescent="0.2">
      <c r="A6" s="13">
        <v>4</v>
      </c>
      <c r="B6" s="13">
        <v>2</v>
      </c>
      <c r="C6" s="21" t="s">
        <v>165</v>
      </c>
      <c r="D6" s="15">
        <v>20124.3</v>
      </c>
      <c r="E6" s="15">
        <v>18434.89</v>
      </c>
      <c r="F6" s="16">
        <f t="shared" ref="F6:F19" si="1">(D6-E6)/E6</f>
        <v>9.1641989727088147E-2</v>
      </c>
      <c r="G6" s="17">
        <v>2841</v>
      </c>
      <c r="H6" s="18">
        <v>78</v>
      </c>
      <c r="I6" s="18">
        <f t="shared" si="0"/>
        <v>36.42307692307692</v>
      </c>
      <c r="J6" s="18">
        <v>12</v>
      </c>
      <c r="K6" s="18">
        <v>2</v>
      </c>
      <c r="L6" s="15">
        <v>74174.67</v>
      </c>
      <c r="M6" s="17">
        <v>10064</v>
      </c>
      <c r="N6" s="19">
        <v>45100</v>
      </c>
      <c r="O6" s="68" t="s">
        <v>23</v>
      </c>
      <c r="R6" s="13"/>
    </row>
    <row r="7" spans="1:18" s="2" customFormat="1" ht="24.95" customHeight="1" x14ac:dyDescent="0.2">
      <c r="A7" s="13">
        <v>5</v>
      </c>
      <c r="B7" s="13">
        <v>3</v>
      </c>
      <c r="C7" s="21" t="s">
        <v>133</v>
      </c>
      <c r="D7" s="15">
        <v>13809.66</v>
      </c>
      <c r="E7" s="15">
        <v>14375.63</v>
      </c>
      <c r="F7" s="16">
        <f t="shared" si="1"/>
        <v>-3.937010064950193E-2</v>
      </c>
      <c r="G7" s="17">
        <v>2183</v>
      </c>
      <c r="H7" s="18">
        <v>66</v>
      </c>
      <c r="I7" s="18">
        <f t="shared" si="0"/>
        <v>33.075757575757578</v>
      </c>
      <c r="J7" s="17">
        <v>12</v>
      </c>
      <c r="K7" s="18">
        <v>5</v>
      </c>
      <c r="L7" s="15">
        <v>276879.77</v>
      </c>
      <c r="M7" s="17">
        <v>46313</v>
      </c>
      <c r="N7" s="19">
        <v>45079</v>
      </c>
      <c r="O7" s="68" t="s">
        <v>23</v>
      </c>
      <c r="R7" s="13"/>
    </row>
    <row r="8" spans="1:18" s="2" customFormat="1" ht="24.95" customHeight="1" x14ac:dyDescent="0.2">
      <c r="A8" s="13">
        <v>6</v>
      </c>
      <c r="B8" s="13">
        <v>4</v>
      </c>
      <c r="C8" s="21" t="s">
        <v>144</v>
      </c>
      <c r="D8" s="15">
        <v>11711.08</v>
      </c>
      <c r="E8" s="15">
        <v>10345.24</v>
      </c>
      <c r="F8" s="16">
        <f t="shared" si="1"/>
        <v>0.13202593656599559</v>
      </c>
      <c r="G8" s="17">
        <v>1696</v>
      </c>
      <c r="H8" s="18">
        <v>55</v>
      </c>
      <c r="I8" s="18">
        <f t="shared" si="0"/>
        <v>30.836363636363636</v>
      </c>
      <c r="J8" s="17">
        <v>13</v>
      </c>
      <c r="K8" s="18">
        <v>4</v>
      </c>
      <c r="L8" s="15">
        <v>142894.62</v>
      </c>
      <c r="M8" s="17">
        <v>21748</v>
      </c>
      <c r="N8" s="19">
        <v>45086</v>
      </c>
      <c r="O8" s="68" t="s">
        <v>159</v>
      </c>
      <c r="R8" s="13"/>
    </row>
    <row r="9" spans="1:18" s="2" customFormat="1" ht="24.95" customHeight="1" x14ac:dyDescent="0.2">
      <c r="A9" s="13">
        <v>7</v>
      </c>
      <c r="B9" s="13">
        <v>6</v>
      </c>
      <c r="C9" s="21" t="s">
        <v>136</v>
      </c>
      <c r="D9" s="15">
        <v>4472.78</v>
      </c>
      <c r="E9" s="15">
        <v>4926.7700000000004</v>
      </c>
      <c r="F9" s="16">
        <f t="shared" si="1"/>
        <v>-9.21475936566961E-2</v>
      </c>
      <c r="G9" s="17">
        <v>644</v>
      </c>
      <c r="H9" s="18">
        <v>14</v>
      </c>
      <c r="I9" s="18">
        <f t="shared" si="0"/>
        <v>46</v>
      </c>
      <c r="J9" s="17">
        <v>4</v>
      </c>
      <c r="K9" s="18">
        <v>5</v>
      </c>
      <c r="L9" s="15">
        <v>68971.59</v>
      </c>
      <c r="M9" s="17">
        <v>10985</v>
      </c>
      <c r="N9" s="19">
        <v>45079</v>
      </c>
      <c r="O9" s="68" t="s">
        <v>49</v>
      </c>
      <c r="R9" s="13"/>
    </row>
    <row r="10" spans="1:18" s="2" customFormat="1" ht="24.95" customHeight="1" x14ac:dyDescent="0.2">
      <c r="A10" s="13">
        <v>8</v>
      </c>
      <c r="B10" s="13">
        <v>5</v>
      </c>
      <c r="C10" s="21" t="s">
        <v>150</v>
      </c>
      <c r="D10" s="15">
        <v>4177.3900000000003</v>
      </c>
      <c r="E10" s="15">
        <v>5504.92</v>
      </c>
      <c r="F10" s="16">
        <f t="shared" si="1"/>
        <v>-0.24115336825966585</v>
      </c>
      <c r="G10" s="17">
        <v>631</v>
      </c>
      <c r="H10" s="18">
        <v>42</v>
      </c>
      <c r="I10" s="18">
        <f t="shared" si="0"/>
        <v>15.023809523809524</v>
      </c>
      <c r="J10" s="17">
        <v>9</v>
      </c>
      <c r="K10" s="18">
        <v>3</v>
      </c>
      <c r="L10" s="15">
        <v>57182.65</v>
      </c>
      <c r="M10" s="17">
        <v>8977</v>
      </c>
      <c r="N10" s="19">
        <v>45093</v>
      </c>
      <c r="O10" s="68" t="s">
        <v>21</v>
      </c>
      <c r="R10" s="13"/>
    </row>
    <row r="11" spans="1:18" s="2" customFormat="1" ht="24.95" customHeight="1" x14ac:dyDescent="0.2">
      <c r="A11" s="13">
        <v>9</v>
      </c>
      <c r="B11" s="13">
        <v>8</v>
      </c>
      <c r="C11" s="21" t="s">
        <v>145</v>
      </c>
      <c r="D11" s="15">
        <v>3448.85</v>
      </c>
      <c r="E11" s="15">
        <v>3355.03</v>
      </c>
      <c r="F11" s="16">
        <f t="shared" si="1"/>
        <v>2.7963982438308957E-2</v>
      </c>
      <c r="G11" s="17">
        <v>526</v>
      </c>
      <c r="H11" s="18">
        <v>28</v>
      </c>
      <c r="I11" s="18">
        <f t="shared" si="0"/>
        <v>18.785714285714285</v>
      </c>
      <c r="J11" s="17">
        <v>6</v>
      </c>
      <c r="K11" s="18">
        <v>4</v>
      </c>
      <c r="L11" s="15">
        <v>44949.760000000002</v>
      </c>
      <c r="M11" s="17">
        <v>7298</v>
      </c>
      <c r="N11" s="19">
        <v>45086</v>
      </c>
      <c r="O11" s="68" t="s">
        <v>160</v>
      </c>
      <c r="R11" s="13"/>
    </row>
    <row r="12" spans="1:18" s="2" customFormat="1" ht="24.6" customHeight="1" x14ac:dyDescent="0.2">
      <c r="A12" s="13">
        <v>10</v>
      </c>
      <c r="B12" s="13">
        <v>10</v>
      </c>
      <c r="C12" s="14" t="s">
        <v>19</v>
      </c>
      <c r="D12" s="15">
        <v>3338.9</v>
      </c>
      <c r="E12" s="15">
        <v>2451.52</v>
      </c>
      <c r="F12" s="16">
        <f t="shared" si="1"/>
        <v>0.36197134838793898</v>
      </c>
      <c r="G12" s="17">
        <v>604</v>
      </c>
      <c r="H12" s="18">
        <v>19</v>
      </c>
      <c r="I12" s="18">
        <f t="shared" si="0"/>
        <v>31.789473684210527</v>
      </c>
      <c r="J12" s="17">
        <v>6</v>
      </c>
      <c r="K12" s="18">
        <v>13</v>
      </c>
      <c r="L12" s="15">
        <v>579380.73</v>
      </c>
      <c r="M12" s="17">
        <v>106376</v>
      </c>
      <c r="N12" s="19">
        <v>45023</v>
      </c>
      <c r="O12" s="68" t="s">
        <v>160</v>
      </c>
      <c r="R12" s="13"/>
    </row>
    <row r="13" spans="1:18" s="2" customFormat="1" ht="24.95" customHeight="1" x14ac:dyDescent="0.2">
      <c r="A13" s="13">
        <v>11</v>
      </c>
      <c r="B13" s="13">
        <v>9</v>
      </c>
      <c r="C13" s="21" t="s">
        <v>85</v>
      </c>
      <c r="D13" s="15">
        <v>3317.65</v>
      </c>
      <c r="E13" s="15">
        <v>3004.12</v>
      </c>
      <c r="F13" s="16">
        <f t="shared" si="1"/>
        <v>0.10436666977351111</v>
      </c>
      <c r="G13" s="17">
        <v>478</v>
      </c>
      <c r="H13" s="18">
        <v>15</v>
      </c>
      <c r="I13" s="18">
        <f t="shared" si="0"/>
        <v>31.866666666666667</v>
      </c>
      <c r="J13" s="17">
        <v>4</v>
      </c>
      <c r="K13" s="18">
        <v>9</v>
      </c>
      <c r="L13" s="15">
        <v>282110.98</v>
      </c>
      <c r="M13" s="17">
        <v>39932</v>
      </c>
      <c r="N13" s="19">
        <v>45051</v>
      </c>
      <c r="O13" s="68" t="s">
        <v>49</v>
      </c>
      <c r="R13" s="13"/>
    </row>
    <row r="14" spans="1:18" s="2" customFormat="1" ht="24.95" customHeight="1" x14ac:dyDescent="0.2">
      <c r="A14" s="13">
        <v>12</v>
      </c>
      <c r="B14" s="13">
        <v>11</v>
      </c>
      <c r="C14" s="14" t="s">
        <v>126</v>
      </c>
      <c r="D14" s="15">
        <v>2918.03</v>
      </c>
      <c r="E14" s="15">
        <v>2432.31</v>
      </c>
      <c r="F14" s="16">
        <f t="shared" si="1"/>
        <v>0.19969494020087911</v>
      </c>
      <c r="G14" s="17">
        <v>495</v>
      </c>
      <c r="H14" s="18">
        <v>16</v>
      </c>
      <c r="I14" s="18">
        <f t="shared" si="0"/>
        <v>30.9375</v>
      </c>
      <c r="J14" s="17">
        <v>5</v>
      </c>
      <c r="K14" s="18">
        <v>6</v>
      </c>
      <c r="L14" s="15">
        <v>85408.27</v>
      </c>
      <c r="M14" s="17">
        <v>16211</v>
      </c>
      <c r="N14" s="19">
        <v>45072</v>
      </c>
      <c r="O14" s="68" t="s">
        <v>49</v>
      </c>
      <c r="R14" s="13"/>
    </row>
    <row r="15" spans="1:18" s="2" customFormat="1" ht="24.6" customHeight="1" x14ac:dyDescent="0.2">
      <c r="A15" s="13">
        <v>13</v>
      </c>
      <c r="B15" s="13">
        <v>7</v>
      </c>
      <c r="C15" s="21" t="s">
        <v>114</v>
      </c>
      <c r="D15" s="15">
        <v>2247.94</v>
      </c>
      <c r="E15" s="15">
        <v>3960.01</v>
      </c>
      <c r="F15" s="16">
        <f t="shared" si="1"/>
        <v>-0.43233981732369364</v>
      </c>
      <c r="G15" s="17">
        <v>331</v>
      </c>
      <c r="H15" s="18">
        <v>10</v>
      </c>
      <c r="I15" s="18">
        <f t="shared" si="0"/>
        <v>33.1</v>
      </c>
      <c r="J15" s="17">
        <v>4</v>
      </c>
      <c r="K15" s="18">
        <v>7</v>
      </c>
      <c r="L15" s="15">
        <v>341499.37</v>
      </c>
      <c r="M15" s="17">
        <v>47600</v>
      </c>
      <c r="N15" s="19">
        <v>45065</v>
      </c>
      <c r="O15" s="68" t="s">
        <v>160</v>
      </c>
      <c r="R15" s="13"/>
    </row>
    <row r="16" spans="1:18" s="2" customFormat="1" ht="24.95" customHeight="1" x14ac:dyDescent="0.2">
      <c r="A16" s="13">
        <v>14</v>
      </c>
      <c r="B16" s="13">
        <v>13</v>
      </c>
      <c r="C16" s="14" t="s">
        <v>16</v>
      </c>
      <c r="D16" s="15">
        <v>680.15</v>
      </c>
      <c r="E16" s="15">
        <v>637.95000000000005</v>
      </c>
      <c r="F16" s="16">
        <f t="shared" si="1"/>
        <v>6.6149384748020887E-2</v>
      </c>
      <c r="G16" s="17">
        <v>147</v>
      </c>
      <c r="H16" s="18">
        <v>10</v>
      </c>
      <c r="I16" s="18">
        <f t="shared" si="0"/>
        <v>14.7</v>
      </c>
      <c r="J16" s="17">
        <v>4</v>
      </c>
      <c r="K16" s="18">
        <v>11</v>
      </c>
      <c r="L16" s="15">
        <f>10541.6+59502.16+28438.16+47078.53+27075.66+21476.23+5121.85+10722.58+3847.66+8359.46+83+2399.01+5597.69+2871.31+4891.33+1375.68+2011.48+1436.11+229.5+1051.37+822.73+637.95+461.88+680.15</f>
        <v>246713.08000000002</v>
      </c>
      <c r="M16" s="17">
        <v>49165</v>
      </c>
      <c r="N16" s="19">
        <v>45037</v>
      </c>
      <c r="O16" s="68" t="s">
        <v>18</v>
      </c>
      <c r="R16" s="13"/>
    </row>
    <row r="17" spans="1:15" ht="24.6" customHeight="1" x14ac:dyDescent="0.15">
      <c r="A17" s="13">
        <v>15</v>
      </c>
      <c r="B17" s="13">
        <v>12</v>
      </c>
      <c r="C17" s="21" t="s">
        <v>131</v>
      </c>
      <c r="D17" s="15">
        <v>517.99</v>
      </c>
      <c r="E17" s="15">
        <v>857.91</v>
      </c>
      <c r="F17" s="16">
        <f t="shared" si="1"/>
        <v>-0.39621871758109822</v>
      </c>
      <c r="G17" s="17">
        <v>179</v>
      </c>
      <c r="H17" s="18">
        <v>10</v>
      </c>
      <c r="I17" s="18">
        <f t="shared" si="0"/>
        <v>17.899999999999999</v>
      </c>
      <c r="J17" s="18">
        <v>4</v>
      </c>
      <c r="K17" s="16" t="s">
        <v>17</v>
      </c>
      <c r="L17" s="15">
        <v>169396.02</v>
      </c>
      <c r="M17" s="17">
        <v>34966</v>
      </c>
      <c r="N17" s="19">
        <v>44925</v>
      </c>
      <c r="O17" s="68" t="s">
        <v>33</v>
      </c>
    </row>
    <row r="18" spans="1:15" ht="24.6" customHeight="1" x14ac:dyDescent="0.15">
      <c r="A18" s="13">
        <v>16</v>
      </c>
      <c r="B18" s="31">
        <v>27</v>
      </c>
      <c r="C18" s="41" t="s">
        <v>72</v>
      </c>
      <c r="D18" s="33">
        <v>457.1</v>
      </c>
      <c r="E18" s="33">
        <v>63.8</v>
      </c>
      <c r="F18" s="34">
        <f t="shared" si="1"/>
        <v>6.1645768025078373</v>
      </c>
      <c r="G18" s="35">
        <v>65</v>
      </c>
      <c r="H18" s="36">
        <v>2</v>
      </c>
      <c r="I18" s="18">
        <f t="shared" si="0"/>
        <v>32.5</v>
      </c>
      <c r="J18" s="35">
        <v>2</v>
      </c>
      <c r="K18" s="36">
        <v>15</v>
      </c>
      <c r="L18" s="33">
        <v>56587</v>
      </c>
      <c r="M18" s="35">
        <v>7526</v>
      </c>
      <c r="N18" s="37">
        <v>45012</v>
      </c>
      <c r="O18" s="59" t="s">
        <v>73</v>
      </c>
    </row>
    <row r="19" spans="1:15" ht="24.6" customHeight="1" x14ac:dyDescent="0.15">
      <c r="A19" s="13">
        <v>17</v>
      </c>
      <c r="B19" s="13">
        <v>15</v>
      </c>
      <c r="C19" s="14" t="s">
        <v>42</v>
      </c>
      <c r="D19" s="15">
        <v>403.6</v>
      </c>
      <c r="E19" s="15">
        <v>345.5</v>
      </c>
      <c r="F19" s="16">
        <f t="shared" si="1"/>
        <v>0.16816208393632423</v>
      </c>
      <c r="G19" s="17">
        <v>63</v>
      </c>
      <c r="H19" s="18">
        <v>4</v>
      </c>
      <c r="I19" s="18">
        <f t="shared" si="0"/>
        <v>15.75</v>
      </c>
      <c r="J19" s="17">
        <v>1</v>
      </c>
      <c r="K19" s="18">
        <v>18</v>
      </c>
      <c r="L19" s="15">
        <v>237707.13000000006</v>
      </c>
      <c r="M19" s="17">
        <v>37293</v>
      </c>
      <c r="N19" s="19">
        <v>44988</v>
      </c>
      <c r="O19" s="68" t="s">
        <v>43</v>
      </c>
    </row>
    <row r="20" spans="1:15" ht="24.6" customHeight="1" x14ac:dyDescent="0.15">
      <c r="A20" s="13">
        <v>18</v>
      </c>
      <c r="B20" s="16" t="s">
        <v>17</v>
      </c>
      <c r="C20" s="21" t="s">
        <v>152</v>
      </c>
      <c r="D20" s="15">
        <v>380</v>
      </c>
      <c r="E20" s="15" t="s">
        <v>17</v>
      </c>
      <c r="F20" s="16" t="s">
        <v>17</v>
      </c>
      <c r="G20" s="17">
        <v>156</v>
      </c>
      <c r="H20" s="18">
        <v>6</v>
      </c>
      <c r="I20" s="18">
        <f t="shared" si="0"/>
        <v>26</v>
      </c>
      <c r="J20" s="18">
        <v>2</v>
      </c>
      <c r="K20" s="16" t="s">
        <v>17</v>
      </c>
      <c r="L20" s="15">
        <v>101667.83</v>
      </c>
      <c r="M20" s="17">
        <v>21510</v>
      </c>
      <c r="N20" s="19">
        <v>44603</v>
      </c>
      <c r="O20" s="68" t="s">
        <v>25</v>
      </c>
    </row>
    <row r="21" spans="1:15" ht="24.6" customHeight="1" x14ac:dyDescent="0.15">
      <c r="A21" s="13">
        <v>19</v>
      </c>
      <c r="B21" s="13">
        <v>20</v>
      </c>
      <c r="C21" s="21" t="s">
        <v>115</v>
      </c>
      <c r="D21" s="15">
        <v>341.3</v>
      </c>
      <c r="E21" s="15">
        <v>203</v>
      </c>
      <c r="F21" s="16">
        <f>(D21-E21)/E21</f>
        <v>0.68128078817733995</v>
      </c>
      <c r="G21" s="17">
        <v>58</v>
      </c>
      <c r="H21" s="18">
        <v>3</v>
      </c>
      <c r="I21" s="18">
        <f t="shared" si="0"/>
        <v>19.333333333333332</v>
      </c>
      <c r="J21" s="17">
        <v>2</v>
      </c>
      <c r="K21" s="18">
        <v>7</v>
      </c>
      <c r="L21" s="15">
        <v>7887.9</v>
      </c>
      <c r="M21" s="17">
        <v>1388</v>
      </c>
      <c r="N21" s="19">
        <v>45065</v>
      </c>
      <c r="O21" s="68" t="s">
        <v>49</v>
      </c>
    </row>
    <row r="22" spans="1:15" ht="24.6" customHeight="1" x14ac:dyDescent="0.15">
      <c r="A22" s="13">
        <v>20</v>
      </c>
      <c r="B22" s="16" t="s">
        <v>17</v>
      </c>
      <c r="C22" s="21" t="s">
        <v>153</v>
      </c>
      <c r="D22" s="15">
        <v>305.5</v>
      </c>
      <c r="E22" s="15" t="s">
        <v>17</v>
      </c>
      <c r="F22" s="16" t="s">
        <v>17</v>
      </c>
      <c r="G22" s="17">
        <v>137</v>
      </c>
      <c r="H22" s="18">
        <v>6</v>
      </c>
      <c r="I22" s="18">
        <f t="shared" si="0"/>
        <v>22.833333333333332</v>
      </c>
      <c r="J22" s="18">
        <v>2</v>
      </c>
      <c r="K22" s="16" t="s">
        <v>17</v>
      </c>
      <c r="L22" s="15">
        <v>17864.400000000001</v>
      </c>
      <c r="M22" s="17">
        <v>3847</v>
      </c>
      <c r="N22" s="19">
        <v>44645</v>
      </c>
      <c r="O22" s="68" t="s">
        <v>25</v>
      </c>
    </row>
    <row r="23" spans="1:15" ht="24.6" customHeight="1" x14ac:dyDescent="0.15">
      <c r="A23" s="13">
        <v>21</v>
      </c>
      <c r="B23" s="13">
        <v>18</v>
      </c>
      <c r="C23" s="21" t="s">
        <v>54</v>
      </c>
      <c r="D23" s="15">
        <v>263.5</v>
      </c>
      <c r="E23" s="15">
        <v>260.5</v>
      </c>
      <c r="F23" s="16">
        <f>(D23-E23)/E23</f>
        <v>1.1516314779270634E-2</v>
      </c>
      <c r="G23" s="17">
        <v>100</v>
      </c>
      <c r="H23" s="18">
        <v>7</v>
      </c>
      <c r="I23" s="18">
        <f t="shared" si="0"/>
        <v>14.285714285714286</v>
      </c>
      <c r="J23" s="18">
        <v>2</v>
      </c>
      <c r="K23" s="16" t="s">
        <v>17</v>
      </c>
      <c r="L23" s="15">
        <v>72458.47</v>
      </c>
      <c r="M23" s="17">
        <v>15155</v>
      </c>
      <c r="N23" s="19">
        <v>44981</v>
      </c>
      <c r="O23" s="68" t="s">
        <v>33</v>
      </c>
    </row>
    <row r="24" spans="1:15" s="43" customFormat="1" ht="24.6" customHeight="1" x14ac:dyDescent="0.15">
      <c r="A24" s="13">
        <v>22</v>
      </c>
      <c r="B24" s="13">
        <v>17</v>
      </c>
      <c r="C24" s="21" t="s">
        <v>62</v>
      </c>
      <c r="D24" s="42">
        <v>162.5</v>
      </c>
      <c r="E24" s="42">
        <v>294.87</v>
      </c>
      <c r="F24" s="16">
        <f>(D24-E24)/E24</f>
        <v>-0.44890968901549838</v>
      </c>
      <c r="G24" s="40">
        <v>47</v>
      </c>
      <c r="H24" s="18">
        <v>5</v>
      </c>
      <c r="I24" s="18">
        <f t="shared" si="0"/>
        <v>9.4</v>
      </c>
      <c r="J24" s="17">
        <v>3</v>
      </c>
      <c r="K24" s="18">
        <v>10</v>
      </c>
      <c r="L24" s="42">
        <v>43933.489999999991</v>
      </c>
      <c r="M24" s="40">
        <v>8912</v>
      </c>
      <c r="N24" s="19">
        <v>45044</v>
      </c>
      <c r="O24" s="68" t="s">
        <v>33</v>
      </c>
    </row>
    <row r="25" spans="1:15" ht="24.6" customHeight="1" x14ac:dyDescent="0.15">
      <c r="A25" s="13">
        <v>23</v>
      </c>
      <c r="B25" s="13">
        <v>24</v>
      </c>
      <c r="C25" s="21" t="s">
        <v>130</v>
      </c>
      <c r="D25" s="15">
        <v>146.19999999999999</v>
      </c>
      <c r="E25" s="15">
        <v>106.9</v>
      </c>
      <c r="F25" s="16">
        <f>(D25-E25)/E25</f>
        <v>0.36763330215154333</v>
      </c>
      <c r="G25" s="17">
        <v>23</v>
      </c>
      <c r="H25" s="18">
        <v>2</v>
      </c>
      <c r="I25" s="18">
        <f t="shared" si="0"/>
        <v>11.5</v>
      </c>
      <c r="J25" s="18">
        <v>1</v>
      </c>
      <c r="K25" s="18">
        <v>5</v>
      </c>
      <c r="L25" s="15">
        <v>7932.619999999999</v>
      </c>
      <c r="M25" s="17">
        <v>1233</v>
      </c>
      <c r="N25" s="19">
        <v>45078</v>
      </c>
      <c r="O25" s="68" t="s">
        <v>33</v>
      </c>
    </row>
    <row r="26" spans="1:15" ht="24.6" customHeight="1" x14ac:dyDescent="0.15">
      <c r="A26" s="13">
        <v>24</v>
      </c>
      <c r="B26" s="16" t="s">
        <v>17</v>
      </c>
      <c r="C26" s="21" t="s">
        <v>173</v>
      </c>
      <c r="D26" s="15">
        <v>133.19999999999999</v>
      </c>
      <c r="E26" s="15" t="s">
        <v>17</v>
      </c>
      <c r="F26" s="16" t="s">
        <v>17</v>
      </c>
      <c r="G26" s="17">
        <v>25</v>
      </c>
      <c r="H26" s="18">
        <v>3</v>
      </c>
      <c r="I26" s="18">
        <f t="shared" si="0"/>
        <v>8.3333333333333339</v>
      </c>
      <c r="J26" s="18">
        <v>3</v>
      </c>
      <c r="K26" s="18">
        <v>2</v>
      </c>
      <c r="L26" s="15">
        <v>384.7</v>
      </c>
      <c r="M26" s="17">
        <v>62</v>
      </c>
      <c r="N26" s="19">
        <v>45106</v>
      </c>
      <c r="O26" s="68" t="s">
        <v>30</v>
      </c>
    </row>
    <row r="27" spans="1:15" ht="24.6" customHeight="1" x14ac:dyDescent="0.15">
      <c r="A27" s="13">
        <v>25</v>
      </c>
      <c r="B27" s="34" t="s">
        <v>17</v>
      </c>
      <c r="C27" s="41" t="s">
        <v>92</v>
      </c>
      <c r="D27" s="33">
        <v>100.8</v>
      </c>
      <c r="E27" s="33" t="s">
        <v>17</v>
      </c>
      <c r="F27" s="34" t="s">
        <v>17</v>
      </c>
      <c r="G27" s="35">
        <v>14</v>
      </c>
      <c r="H27" s="36">
        <v>1</v>
      </c>
      <c r="I27" s="18">
        <f t="shared" si="0"/>
        <v>14</v>
      </c>
      <c r="J27" s="36">
        <v>1</v>
      </c>
      <c r="K27" s="34" t="s">
        <v>17</v>
      </c>
      <c r="L27" s="33">
        <v>3759</v>
      </c>
      <c r="M27" s="35">
        <v>659</v>
      </c>
      <c r="N27" s="37">
        <v>45051</v>
      </c>
      <c r="O27" s="59" t="s">
        <v>73</v>
      </c>
    </row>
    <row r="28" spans="1:15" ht="24.6" customHeight="1" x14ac:dyDescent="0.15">
      <c r="A28" s="13">
        <v>26</v>
      </c>
      <c r="B28" s="16" t="s">
        <v>17</v>
      </c>
      <c r="C28" s="41" t="s">
        <v>74</v>
      </c>
      <c r="D28" s="33">
        <v>100</v>
      </c>
      <c r="E28" s="33" t="s">
        <v>17</v>
      </c>
      <c r="F28" s="34" t="s">
        <v>17</v>
      </c>
      <c r="G28" s="35">
        <v>16</v>
      </c>
      <c r="H28" s="36">
        <v>1</v>
      </c>
      <c r="I28" s="18">
        <f t="shared" si="0"/>
        <v>16</v>
      </c>
      <c r="J28" s="36">
        <v>1</v>
      </c>
      <c r="K28" s="34" t="s">
        <v>17</v>
      </c>
      <c r="L28" s="33">
        <v>45868</v>
      </c>
      <c r="M28" s="35">
        <v>5391</v>
      </c>
      <c r="N28" s="37">
        <v>45012</v>
      </c>
      <c r="O28" s="59" t="s">
        <v>73</v>
      </c>
    </row>
    <row r="29" spans="1:15" ht="24.6" customHeight="1" x14ac:dyDescent="0.15">
      <c r="A29" s="13">
        <v>27</v>
      </c>
      <c r="B29" s="13">
        <v>29</v>
      </c>
      <c r="C29" s="14" t="s">
        <v>90</v>
      </c>
      <c r="D29" s="15">
        <v>96.2</v>
      </c>
      <c r="E29" s="15">
        <v>55.6</v>
      </c>
      <c r="F29" s="16">
        <f>(D29-E29)/E29</f>
        <v>0.73021582733812951</v>
      </c>
      <c r="G29" s="17">
        <v>13</v>
      </c>
      <c r="H29" s="18">
        <v>1</v>
      </c>
      <c r="I29" s="18">
        <f t="shared" si="0"/>
        <v>13</v>
      </c>
      <c r="J29" s="17">
        <v>1</v>
      </c>
      <c r="K29" s="34" t="s">
        <v>17</v>
      </c>
      <c r="L29" s="15">
        <v>41070.580000000009</v>
      </c>
      <c r="M29" s="17">
        <v>6957</v>
      </c>
      <c r="N29" s="19">
        <v>44678</v>
      </c>
      <c r="O29" s="68" t="s">
        <v>33</v>
      </c>
    </row>
    <row r="30" spans="1:15" ht="24.6" customHeight="1" x14ac:dyDescent="0.15">
      <c r="A30" s="13">
        <v>28</v>
      </c>
      <c r="B30" s="13">
        <v>22</v>
      </c>
      <c r="C30" s="21" t="s">
        <v>118</v>
      </c>
      <c r="D30" s="15">
        <v>51.9</v>
      </c>
      <c r="E30" s="15">
        <v>138.69999999999999</v>
      </c>
      <c r="F30" s="16">
        <f>(D30-E30)/E30</f>
        <v>-0.62581110310021626</v>
      </c>
      <c r="G30" s="17">
        <v>8</v>
      </c>
      <c r="H30" s="18">
        <v>1</v>
      </c>
      <c r="I30" s="18">
        <f t="shared" si="0"/>
        <v>8</v>
      </c>
      <c r="J30" s="17">
        <v>1</v>
      </c>
      <c r="K30" s="18">
        <v>6</v>
      </c>
      <c r="L30" s="15">
        <v>7261.3</v>
      </c>
      <c r="M30" s="17">
        <v>1752</v>
      </c>
      <c r="N30" s="19">
        <v>45072</v>
      </c>
      <c r="O30" s="68" t="s">
        <v>30</v>
      </c>
    </row>
    <row r="31" spans="1:15" ht="24.6" customHeight="1" x14ac:dyDescent="0.15">
      <c r="A31" s="13">
        <v>29</v>
      </c>
      <c r="B31" s="13">
        <v>28</v>
      </c>
      <c r="C31" s="21" t="s">
        <v>61</v>
      </c>
      <c r="D31" s="42">
        <v>46.1</v>
      </c>
      <c r="E31" s="42">
        <v>62.8</v>
      </c>
      <c r="F31" s="16">
        <f>(D31-E31)/E31</f>
        <v>-0.26592356687898083</v>
      </c>
      <c r="G31" s="40">
        <v>7</v>
      </c>
      <c r="H31" s="18">
        <v>1</v>
      </c>
      <c r="I31" s="18">
        <f t="shared" si="0"/>
        <v>7</v>
      </c>
      <c r="J31" s="17">
        <v>1</v>
      </c>
      <c r="K31" s="18">
        <v>10</v>
      </c>
      <c r="L31" s="42">
        <v>10921.670000000004</v>
      </c>
      <c r="M31" s="40">
        <v>1793</v>
      </c>
      <c r="N31" s="19">
        <v>45044</v>
      </c>
      <c r="O31" s="68" t="s">
        <v>33</v>
      </c>
    </row>
    <row r="32" spans="1:15" ht="24.6" customHeight="1" x14ac:dyDescent="0.15">
      <c r="A32" s="13">
        <v>30</v>
      </c>
      <c r="B32" s="16" t="s">
        <v>17</v>
      </c>
      <c r="C32" s="21" t="s">
        <v>120</v>
      </c>
      <c r="D32" s="15">
        <v>42</v>
      </c>
      <c r="E32" s="15" t="s">
        <v>17</v>
      </c>
      <c r="F32" s="16" t="s">
        <v>17</v>
      </c>
      <c r="G32" s="17">
        <v>7</v>
      </c>
      <c r="H32" s="18">
        <v>1</v>
      </c>
      <c r="I32" s="18">
        <f t="shared" si="0"/>
        <v>7</v>
      </c>
      <c r="J32" s="18">
        <v>1</v>
      </c>
      <c r="K32" s="16" t="s">
        <v>17</v>
      </c>
      <c r="L32" s="15">
        <v>22013.59</v>
      </c>
      <c r="M32" s="17">
        <v>3517</v>
      </c>
      <c r="N32" s="19">
        <v>44939</v>
      </c>
      <c r="O32" s="68" t="s">
        <v>30</v>
      </c>
    </row>
    <row r="33" spans="1:15" ht="24.6" customHeight="1" x14ac:dyDescent="0.15">
      <c r="A33" s="13">
        <v>31</v>
      </c>
      <c r="B33" s="13">
        <v>19</v>
      </c>
      <c r="C33" s="21" t="s">
        <v>146</v>
      </c>
      <c r="D33" s="15">
        <v>31.89</v>
      </c>
      <c r="E33" s="15">
        <v>209.62</v>
      </c>
      <c r="F33" s="16">
        <f>(D33-E33)/E33</f>
        <v>-0.84786756988836953</v>
      </c>
      <c r="G33" s="17">
        <v>5</v>
      </c>
      <c r="H33" s="18">
        <v>2</v>
      </c>
      <c r="I33" s="18">
        <f t="shared" si="0"/>
        <v>2.5</v>
      </c>
      <c r="J33" s="17">
        <v>1</v>
      </c>
      <c r="K33" s="16" t="s">
        <v>17</v>
      </c>
      <c r="L33" s="15">
        <v>186384.41</v>
      </c>
      <c r="M33" s="17">
        <v>37122</v>
      </c>
      <c r="N33" s="19">
        <v>44568</v>
      </c>
      <c r="O33" s="68" t="s">
        <v>159</v>
      </c>
    </row>
    <row r="34" spans="1:15" ht="24.6" customHeight="1" x14ac:dyDescent="0.15">
      <c r="A34" s="13">
        <v>32</v>
      </c>
      <c r="B34" s="13">
        <v>35</v>
      </c>
      <c r="C34" s="21" t="s">
        <v>142</v>
      </c>
      <c r="D34" s="15">
        <v>23</v>
      </c>
      <c r="E34" s="15">
        <v>14.5</v>
      </c>
      <c r="F34" s="16">
        <f>(D34-E34)/E34</f>
        <v>0.58620689655172409</v>
      </c>
      <c r="G34" s="17">
        <v>7</v>
      </c>
      <c r="H34" s="18">
        <v>2</v>
      </c>
      <c r="I34" s="18">
        <f t="shared" si="0"/>
        <v>3.5</v>
      </c>
      <c r="J34" s="17">
        <v>1</v>
      </c>
      <c r="K34" s="18">
        <v>4</v>
      </c>
      <c r="L34" s="15">
        <v>3897.94</v>
      </c>
      <c r="M34" s="17">
        <v>599</v>
      </c>
      <c r="N34" s="19">
        <v>45086</v>
      </c>
      <c r="O34" s="68" t="s">
        <v>143</v>
      </c>
    </row>
    <row r="35" spans="1:15" ht="24.6" customHeight="1" x14ac:dyDescent="0.15">
      <c r="A35" s="13">
        <v>33</v>
      </c>
      <c r="B35" s="16" t="s">
        <v>17</v>
      </c>
      <c r="C35" s="14" t="s">
        <v>31</v>
      </c>
      <c r="D35" s="15">
        <v>22.2</v>
      </c>
      <c r="E35" s="15" t="s">
        <v>17</v>
      </c>
      <c r="F35" s="16" t="s">
        <v>17</v>
      </c>
      <c r="G35" s="17">
        <v>3</v>
      </c>
      <c r="H35" s="18">
        <v>1</v>
      </c>
      <c r="I35" s="18">
        <f t="shared" si="0"/>
        <v>3</v>
      </c>
      <c r="J35" s="18">
        <v>1</v>
      </c>
      <c r="K35" s="16" t="s">
        <v>17</v>
      </c>
      <c r="L35" s="15">
        <v>35768.74</v>
      </c>
      <c r="M35" s="17">
        <v>5616</v>
      </c>
      <c r="N35" s="19">
        <v>45030</v>
      </c>
      <c r="O35" s="68" t="s">
        <v>23</v>
      </c>
    </row>
    <row r="36" spans="1:15" s="43" customFormat="1" ht="24.6" customHeight="1" x14ac:dyDescent="0.15">
      <c r="A36" s="13">
        <v>34</v>
      </c>
      <c r="B36" s="13">
        <v>36</v>
      </c>
      <c r="C36" s="21" t="s">
        <v>163</v>
      </c>
      <c r="D36" s="15">
        <v>19</v>
      </c>
      <c r="E36" s="15">
        <v>11.5</v>
      </c>
      <c r="F36" s="16">
        <f>(D36-E36)/E36</f>
        <v>0.65217391304347827</v>
      </c>
      <c r="G36" s="17">
        <v>5</v>
      </c>
      <c r="H36" s="18">
        <v>1</v>
      </c>
      <c r="I36" s="18">
        <f t="shared" si="0"/>
        <v>5</v>
      </c>
      <c r="J36" s="18">
        <v>1</v>
      </c>
      <c r="K36" s="16" t="s">
        <v>17</v>
      </c>
      <c r="L36" s="15">
        <v>44737.289999999986</v>
      </c>
      <c r="M36" s="17">
        <v>7305</v>
      </c>
      <c r="N36" s="19">
        <v>44932</v>
      </c>
      <c r="O36" s="68" t="s">
        <v>33</v>
      </c>
    </row>
    <row r="37" spans="1:15" s="43" customFormat="1" ht="24.6" customHeight="1" x14ac:dyDescent="0.15">
      <c r="A37" s="13">
        <v>35</v>
      </c>
      <c r="B37" s="13">
        <v>14</v>
      </c>
      <c r="C37" s="21" t="s">
        <v>151</v>
      </c>
      <c r="D37" s="15">
        <v>18.5</v>
      </c>
      <c r="E37" s="15">
        <v>495.18</v>
      </c>
      <c r="F37" s="16">
        <f>(D37-E37)/E37</f>
        <v>-0.96263984813603132</v>
      </c>
      <c r="G37" s="17">
        <v>6</v>
      </c>
      <c r="H37" s="18">
        <v>2</v>
      </c>
      <c r="I37" s="18">
        <f t="shared" si="0"/>
        <v>3</v>
      </c>
      <c r="J37" s="17">
        <v>2</v>
      </c>
      <c r="K37" s="18">
        <v>3</v>
      </c>
      <c r="L37" s="15">
        <v>9320.58</v>
      </c>
      <c r="M37" s="17">
        <v>1707</v>
      </c>
      <c r="N37" s="19">
        <v>45093</v>
      </c>
      <c r="O37" s="68" t="s">
        <v>25</v>
      </c>
    </row>
    <row r="38" spans="1:15" s="51" customFormat="1" ht="24" customHeight="1" x14ac:dyDescent="0.2">
      <c r="B38" s="84"/>
      <c r="C38" s="77" t="s">
        <v>176</v>
      </c>
      <c r="D38" s="52">
        <f>SUBTOTAL(109,Table132456789101112[Pajamos 
(GBO)])</f>
        <v>168263.02000000005</v>
      </c>
      <c r="E38" s="52" t="s">
        <v>171</v>
      </c>
      <c r="F38" s="81">
        <f t="shared" ref="F38" si="2">(D38-E38)/E38</f>
        <v>0.65195342489961461</v>
      </c>
      <c r="G38" s="78">
        <f>SUBTOTAL(109,Table132456789101112[Žiūrovų sk. 
(ADM)])</f>
        <v>27058</v>
      </c>
      <c r="H38" s="70"/>
      <c r="I38" s="70"/>
      <c r="J38" s="70"/>
      <c r="K38" s="70"/>
      <c r="L38" s="52"/>
      <c r="M38" s="78"/>
      <c r="N38" s="53"/>
      <c r="O38" s="79" t="s">
        <v>56</v>
      </c>
    </row>
    <row r="39" spans="1:15" ht="11.25" hidden="1" x14ac:dyDescent="0.15">
      <c r="F39" s="4"/>
      <c r="L39" s="3"/>
    </row>
    <row r="40" spans="1:15" ht="11.25" hidden="1" x14ac:dyDescent="0.15">
      <c r="F40" s="4"/>
      <c r="L40" s="3"/>
    </row>
    <row r="41" spans="1:15" ht="11.25" hidden="1" x14ac:dyDescent="0.15">
      <c r="F41" s="4"/>
      <c r="L41" s="3"/>
    </row>
    <row r="42" spans="1:15" ht="11.25" hidden="1" x14ac:dyDescent="0.15">
      <c r="F42" s="4"/>
      <c r="L42" s="3"/>
    </row>
    <row r="43" spans="1:15" ht="11.25" hidden="1" x14ac:dyDescent="0.15">
      <c r="F43" s="4"/>
      <c r="L43" s="3"/>
    </row>
    <row r="44" spans="1:15" ht="11.25" hidden="1" x14ac:dyDescent="0.15">
      <c r="F44" s="4"/>
      <c r="L44" s="3"/>
    </row>
    <row r="45" spans="1:15" ht="11.25" hidden="1" x14ac:dyDescent="0.15">
      <c r="F45" s="4"/>
      <c r="L45" s="3"/>
    </row>
    <row r="46" spans="1:15" ht="11.25" hidden="1" x14ac:dyDescent="0.15">
      <c r="F46" s="4"/>
      <c r="L46" s="3"/>
    </row>
    <row r="47" spans="1:15" ht="11.25" hidden="1" x14ac:dyDescent="0.15">
      <c r="F47" s="4"/>
      <c r="L47" s="3"/>
    </row>
    <row r="48" spans="1:15" ht="11.25" hidden="1" x14ac:dyDescent="0.15">
      <c r="F48" s="4"/>
      <c r="L48" s="3"/>
    </row>
    <row r="49" spans="1:16383" ht="11.25" hidden="1" x14ac:dyDescent="0.15">
      <c r="F49" s="4"/>
      <c r="L49" s="3"/>
    </row>
    <row r="50" spans="1:16383" ht="11.25" hidden="1" x14ac:dyDescent="0.15">
      <c r="F50" s="4"/>
      <c r="L50" s="3"/>
    </row>
    <row r="51" spans="1:16383" ht="11.25" hidden="1" x14ac:dyDescent="0.15">
      <c r="F51" s="4"/>
    </row>
    <row r="52" spans="1:16383" s="44" customFormat="1" ht="11.25" hidden="1" x14ac:dyDescent="0.15">
      <c r="A52" s="1"/>
      <c r="B52" s="66"/>
      <c r="C52" s="1"/>
      <c r="D52" s="5"/>
      <c r="E52" s="5"/>
      <c r="F52" s="4"/>
      <c r="K52" s="66"/>
      <c r="L52" s="5"/>
      <c r="N52" s="12"/>
      <c r="O52" s="6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s="44" customFormat="1" ht="11.25" hidden="1" x14ac:dyDescent="0.15">
      <c r="A53" s="1"/>
      <c r="B53" s="66"/>
      <c r="C53" s="1"/>
      <c r="D53" s="5"/>
      <c r="E53" s="5"/>
      <c r="F53" s="4"/>
      <c r="K53" s="66"/>
      <c r="L53" s="5"/>
      <c r="N53" s="12"/>
      <c r="O53" s="6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44" customFormat="1" ht="11.25" hidden="1" x14ac:dyDescent="0.15">
      <c r="A54" s="1"/>
      <c r="B54" s="66"/>
      <c r="C54" s="1"/>
      <c r="D54" s="5"/>
      <c r="E54" s="5"/>
      <c r="F54" s="4"/>
      <c r="K54" s="66"/>
      <c r="L54" s="5"/>
      <c r="N54" s="12"/>
      <c r="O54" s="6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51673-890C-4AD0-97C9-B5F2733AF060}">
  <sheetPr>
    <pageSetUpPr fitToPage="1"/>
  </sheetPr>
  <dimension ref="A1:XFC55"/>
  <sheetViews>
    <sheetView topLeftCell="A3" zoomScale="60" zoomScaleNormal="60" workbookViewId="0">
      <selection activeCell="N27" sqref="N27:O27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161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1">
        <v>1</v>
      </c>
      <c r="C3" s="41" t="s">
        <v>154</v>
      </c>
      <c r="D3" s="33">
        <v>28325.52</v>
      </c>
      <c r="E3" s="33">
        <v>72860.259999999995</v>
      </c>
      <c r="F3" s="34">
        <f>(D3-E3)/E3</f>
        <v>-0.61123498598550152</v>
      </c>
      <c r="G3" s="35">
        <v>5213</v>
      </c>
      <c r="H3" s="35">
        <v>213</v>
      </c>
      <c r="I3" s="36">
        <f t="shared" ref="I3:I24" si="0">G3/H3</f>
        <v>24.474178403755868</v>
      </c>
      <c r="J3" s="36">
        <v>28</v>
      </c>
      <c r="K3" s="36">
        <v>2</v>
      </c>
      <c r="L3" s="33">
        <v>150626.39000000001</v>
      </c>
      <c r="M3" s="35">
        <v>29986</v>
      </c>
      <c r="N3" s="37">
        <v>45093</v>
      </c>
      <c r="O3" s="59" t="s">
        <v>49</v>
      </c>
    </row>
    <row r="4" spans="1:18" s="39" customFormat="1" ht="24.6" customHeight="1" x14ac:dyDescent="0.2">
      <c r="A4" s="31">
        <v>2</v>
      </c>
      <c r="B4" s="36" t="s">
        <v>15</v>
      </c>
      <c r="C4" s="41" t="s">
        <v>165</v>
      </c>
      <c r="D4" s="33">
        <v>18434.89</v>
      </c>
      <c r="E4" s="34" t="s">
        <v>17</v>
      </c>
      <c r="F4" s="34" t="s">
        <v>17</v>
      </c>
      <c r="G4" s="35">
        <v>2365</v>
      </c>
      <c r="H4" s="36">
        <v>89</v>
      </c>
      <c r="I4" s="36">
        <f t="shared" si="0"/>
        <v>26.573033707865168</v>
      </c>
      <c r="J4" s="36">
        <v>15</v>
      </c>
      <c r="K4" s="36">
        <v>1</v>
      </c>
      <c r="L4" s="33">
        <v>28127.46</v>
      </c>
      <c r="M4" s="33">
        <v>3453</v>
      </c>
      <c r="N4" s="37">
        <v>45100</v>
      </c>
      <c r="O4" s="59" t="s">
        <v>23</v>
      </c>
    </row>
    <row r="5" spans="1:18" s="39" customFormat="1" ht="24.95" customHeight="1" x14ac:dyDescent="0.2">
      <c r="A5" s="31">
        <v>3</v>
      </c>
      <c r="B5" s="31">
        <v>2</v>
      </c>
      <c r="C5" s="41" t="s">
        <v>133</v>
      </c>
      <c r="D5" s="33">
        <v>14375.63</v>
      </c>
      <c r="E5" s="33">
        <v>33168.32</v>
      </c>
      <c r="F5" s="34">
        <f t="shared" ref="F5:F13" si="1">(D5-E5)/E5</f>
        <v>-0.56658552498287529</v>
      </c>
      <c r="G5" s="35">
        <v>2227</v>
      </c>
      <c r="H5" s="36">
        <v>92</v>
      </c>
      <c r="I5" s="36">
        <f t="shared" si="0"/>
        <v>24.206521739130434</v>
      </c>
      <c r="J5" s="35">
        <v>14</v>
      </c>
      <c r="K5" s="36">
        <v>4</v>
      </c>
      <c r="L5" s="33">
        <v>244676.64</v>
      </c>
      <c r="M5" s="35">
        <v>40715</v>
      </c>
      <c r="N5" s="37">
        <v>45079</v>
      </c>
      <c r="O5" s="59" t="s">
        <v>23</v>
      </c>
      <c r="R5" s="31"/>
    </row>
    <row r="6" spans="1:18" s="39" customFormat="1" ht="24.95" customHeight="1" x14ac:dyDescent="0.2">
      <c r="A6" s="31">
        <v>4</v>
      </c>
      <c r="B6" s="31">
        <v>3</v>
      </c>
      <c r="C6" s="41" t="s">
        <v>144</v>
      </c>
      <c r="D6" s="33">
        <v>10345.24</v>
      </c>
      <c r="E6" s="33">
        <v>23929.77</v>
      </c>
      <c r="F6" s="34">
        <f t="shared" si="1"/>
        <v>-0.56768326649190526</v>
      </c>
      <c r="G6" s="35">
        <v>1531</v>
      </c>
      <c r="H6" s="36">
        <v>83</v>
      </c>
      <c r="I6" s="36">
        <f t="shared" si="0"/>
        <v>18.445783132530121</v>
      </c>
      <c r="J6" s="35">
        <v>16</v>
      </c>
      <c r="K6" s="36">
        <v>3</v>
      </c>
      <c r="L6" s="33">
        <v>118828.17</v>
      </c>
      <c r="M6" s="35">
        <v>17824</v>
      </c>
      <c r="N6" s="37">
        <v>45086</v>
      </c>
      <c r="O6" s="59" t="s">
        <v>159</v>
      </c>
      <c r="R6" s="31"/>
    </row>
    <row r="7" spans="1:18" s="39" customFormat="1" ht="24.95" customHeight="1" x14ac:dyDescent="0.2">
      <c r="A7" s="31">
        <v>5</v>
      </c>
      <c r="B7" s="31">
        <v>4</v>
      </c>
      <c r="C7" s="41" t="s">
        <v>150</v>
      </c>
      <c r="D7" s="33">
        <v>5504.92</v>
      </c>
      <c r="E7" s="33">
        <v>22411.89</v>
      </c>
      <c r="F7" s="34">
        <f t="shared" si="1"/>
        <v>-0.75437502147297719</v>
      </c>
      <c r="G7" s="35">
        <v>846</v>
      </c>
      <c r="H7" s="36">
        <v>80</v>
      </c>
      <c r="I7" s="36">
        <f t="shared" si="0"/>
        <v>10.574999999999999</v>
      </c>
      <c r="J7" s="35">
        <v>12</v>
      </c>
      <c r="K7" s="36">
        <v>2</v>
      </c>
      <c r="L7" s="33">
        <v>46897.99</v>
      </c>
      <c r="M7" s="35">
        <v>7168</v>
      </c>
      <c r="N7" s="37">
        <v>45093</v>
      </c>
      <c r="O7" s="59" t="s">
        <v>21</v>
      </c>
      <c r="R7" s="31"/>
    </row>
    <row r="8" spans="1:18" s="39" customFormat="1" ht="24.95" customHeight="1" x14ac:dyDescent="0.2">
      <c r="A8" s="31">
        <v>6</v>
      </c>
      <c r="B8" s="31">
        <v>6</v>
      </c>
      <c r="C8" s="41" t="s">
        <v>136</v>
      </c>
      <c r="D8" s="33">
        <v>4926.7700000000004</v>
      </c>
      <c r="E8" s="33">
        <v>8923.57</v>
      </c>
      <c r="F8" s="34">
        <f t="shared" si="1"/>
        <v>-0.44789249145801507</v>
      </c>
      <c r="G8" s="35">
        <v>701</v>
      </c>
      <c r="H8" s="36">
        <v>26</v>
      </c>
      <c r="I8" s="36">
        <f t="shared" si="0"/>
        <v>26.96153846153846</v>
      </c>
      <c r="J8" s="35">
        <v>7</v>
      </c>
      <c r="K8" s="36">
        <v>4</v>
      </c>
      <c r="L8" s="33">
        <v>57247.19</v>
      </c>
      <c r="M8" s="35">
        <v>9081</v>
      </c>
      <c r="N8" s="37">
        <v>45079</v>
      </c>
      <c r="O8" s="59" t="s">
        <v>49</v>
      </c>
      <c r="R8" s="31"/>
    </row>
    <row r="9" spans="1:18" s="39" customFormat="1" ht="24.95" customHeight="1" x14ac:dyDescent="0.2">
      <c r="A9" s="31">
        <v>7</v>
      </c>
      <c r="B9" s="31">
        <v>5</v>
      </c>
      <c r="C9" s="41" t="s">
        <v>114</v>
      </c>
      <c r="D9" s="33">
        <v>3960.01</v>
      </c>
      <c r="E9" s="33">
        <v>13876.22</v>
      </c>
      <c r="F9" s="34">
        <f t="shared" si="1"/>
        <v>-0.71461896683678983</v>
      </c>
      <c r="G9" s="35">
        <v>580</v>
      </c>
      <c r="H9" s="36">
        <v>30</v>
      </c>
      <c r="I9" s="36">
        <f t="shared" si="0"/>
        <v>19.333333333333332</v>
      </c>
      <c r="J9" s="35">
        <v>7</v>
      </c>
      <c r="K9" s="36">
        <v>6</v>
      </c>
      <c r="L9" s="33">
        <v>333684.05</v>
      </c>
      <c r="M9" s="35">
        <v>46296</v>
      </c>
      <c r="N9" s="37">
        <v>45065</v>
      </c>
      <c r="O9" s="59" t="s">
        <v>160</v>
      </c>
      <c r="R9" s="31"/>
    </row>
    <row r="10" spans="1:18" s="39" customFormat="1" ht="24.95" customHeight="1" x14ac:dyDescent="0.2">
      <c r="A10" s="31">
        <v>8</v>
      </c>
      <c r="B10" s="31">
        <v>8</v>
      </c>
      <c r="C10" s="41" t="s">
        <v>145</v>
      </c>
      <c r="D10" s="33">
        <v>3355.03</v>
      </c>
      <c r="E10" s="33">
        <v>7435.73</v>
      </c>
      <c r="F10" s="34">
        <f t="shared" si="1"/>
        <v>-0.54879615047883656</v>
      </c>
      <c r="G10" s="35">
        <v>493</v>
      </c>
      <c r="H10" s="36">
        <v>29</v>
      </c>
      <c r="I10" s="36">
        <f t="shared" si="0"/>
        <v>17</v>
      </c>
      <c r="J10" s="35">
        <v>8</v>
      </c>
      <c r="K10" s="36">
        <v>3</v>
      </c>
      <c r="L10" s="33">
        <v>37789.03</v>
      </c>
      <c r="M10" s="35">
        <v>6105</v>
      </c>
      <c r="N10" s="37">
        <v>45086</v>
      </c>
      <c r="O10" s="59" t="s">
        <v>160</v>
      </c>
      <c r="R10" s="31"/>
    </row>
    <row r="11" spans="1:18" s="39" customFormat="1" ht="24.95" customHeight="1" x14ac:dyDescent="0.2">
      <c r="A11" s="31">
        <v>9</v>
      </c>
      <c r="B11" s="31">
        <v>10</v>
      </c>
      <c r="C11" s="41" t="s">
        <v>85</v>
      </c>
      <c r="D11" s="33">
        <v>3004.12</v>
      </c>
      <c r="E11" s="33">
        <v>5345.22</v>
      </c>
      <c r="F11" s="34">
        <f t="shared" si="1"/>
        <v>-0.43798010184800629</v>
      </c>
      <c r="G11" s="35">
        <v>417</v>
      </c>
      <c r="H11" s="36">
        <v>19</v>
      </c>
      <c r="I11" s="36">
        <f t="shared" si="0"/>
        <v>21.94736842105263</v>
      </c>
      <c r="J11" s="35">
        <v>5</v>
      </c>
      <c r="K11" s="36">
        <v>8</v>
      </c>
      <c r="L11" s="33">
        <v>275395.62</v>
      </c>
      <c r="M11" s="35">
        <v>38865</v>
      </c>
      <c r="N11" s="37">
        <v>45051</v>
      </c>
      <c r="O11" s="59" t="s">
        <v>49</v>
      </c>
      <c r="R11" s="31"/>
    </row>
    <row r="12" spans="1:18" s="39" customFormat="1" ht="24.6" customHeight="1" x14ac:dyDescent="0.2">
      <c r="A12" s="31">
        <v>10</v>
      </c>
      <c r="B12" s="31">
        <v>7</v>
      </c>
      <c r="C12" s="32" t="s">
        <v>19</v>
      </c>
      <c r="D12" s="33">
        <v>2451.52</v>
      </c>
      <c r="E12" s="33">
        <v>7590</v>
      </c>
      <c r="F12" s="34">
        <f t="shared" si="1"/>
        <v>-0.67700658761528321</v>
      </c>
      <c r="G12" s="35">
        <v>450</v>
      </c>
      <c r="H12" s="36">
        <v>33</v>
      </c>
      <c r="I12" s="36">
        <f t="shared" si="0"/>
        <v>13.636363636363637</v>
      </c>
      <c r="J12" s="35">
        <v>8</v>
      </c>
      <c r="K12" s="36">
        <v>12</v>
      </c>
      <c r="L12" s="33">
        <v>573159.51</v>
      </c>
      <c r="M12" s="35">
        <v>105129</v>
      </c>
      <c r="N12" s="37">
        <v>45023</v>
      </c>
      <c r="O12" s="59" t="s">
        <v>160</v>
      </c>
      <c r="R12" s="31"/>
    </row>
    <row r="13" spans="1:18" s="39" customFormat="1" ht="24.95" customHeight="1" x14ac:dyDescent="0.2">
      <c r="A13" s="31">
        <v>11</v>
      </c>
      <c r="B13" s="31">
        <v>9</v>
      </c>
      <c r="C13" s="32" t="s">
        <v>126</v>
      </c>
      <c r="D13" s="33">
        <v>2432.31</v>
      </c>
      <c r="E13" s="33">
        <v>7435.66</v>
      </c>
      <c r="F13" s="34">
        <f t="shared" si="1"/>
        <v>-0.67288579628439171</v>
      </c>
      <c r="G13" s="35">
        <v>416</v>
      </c>
      <c r="H13" s="36">
        <v>24</v>
      </c>
      <c r="I13" s="36">
        <f t="shared" si="0"/>
        <v>17.333333333333332</v>
      </c>
      <c r="J13" s="35">
        <v>7</v>
      </c>
      <c r="K13" s="36">
        <v>5</v>
      </c>
      <c r="L13" s="33">
        <v>78359.320000000007</v>
      </c>
      <c r="M13" s="35">
        <v>14803</v>
      </c>
      <c r="N13" s="37">
        <v>45072</v>
      </c>
      <c r="O13" s="59" t="s">
        <v>49</v>
      </c>
      <c r="R13" s="31"/>
    </row>
    <row r="14" spans="1:18" s="39" customFormat="1" ht="24.95" customHeight="1" x14ac:dyDescent="0.2">
      <c r="A14" s="31">
        <v>12</v>
      </c>
      <c r="B14" s="34" t="s">
        <v>17</v>
      </c>
      <c r="C14" s="41" t="s">
        <v>131</v>
      </c>
      <c r="D14" s="33">
        <v>857.91</v>
      </c>
      <c r="E14" s="34" t="s">
        <v>17</v>
      </c>
      <c r="F14" s="34" t="s">
        <v>17</v>
      </c>
      <c r="G14" s="35">
        <v>289</v>
      </c>
      <c r="H14" s="36">
        <v>8</v>
      </c>
      <c r="I14" s="36">
        <f t="shared" si="0"/>
        <v>36.125</v>
      </c>
      <c r="J14" s="36">
        <v>4</v>
      </c>
      <c r="K14" s="36" t="s">
        <v>17</v>
      </c>
      <c r="L14" s="33">
        <v>168363.03</v>
      </c>
      <c r="M14" s="35">
        <v>34529</v>
      </c>
      <c r="N14" s="37">
        <v>44925</v>
      </c>
      <c r="O14" s="59" t="s">
        <v>33</v>
      </c>
      <c r="R14" s="31"/>
    </row>
    <row r="15" spans="1:18" s="39" customFormat="1" ht="24.6" customHeight="1" x14ac:dyDescent="0.2">
      <c r="A15" s="31">
        <v>13</v>
      </c>
      <c r="B15" s="31">
        <v>12</v>
      </c>
      <c r="C15" s="32" t="s">
        <v>16</v>
      </c>
      <c r="D15" s="33">
        <v>637.95000000000005</v>
      </c>
      <c r="E15" s="33">
        <v>1051.3699999999999</v>
      </c>
      <c r="F15" s="34">
        <f>(D15-E15)/E15</f>
        <v>-0.39322027449898694</v>
      </c>
      <c r="G15" s="35">
        <v>127</v>
      </c>
      <c r="H15" s="36">
        <v>15</v>
      </c>
      <c r="I15" s="36">
        <f t="shared" si="0"/>
        <v>8.4666666666666668</v>
      </c>
      <c r="J15" s="35">
        <v>5</v>
      </c>
      <c r="K15" s="36">
        <v>10</v>
      </c>
      <c r="L15" s="33">
        <v>245571.05000000002</v>
      </c>
      <c r="M15" s="35">
        <v>48904</v>
      </c>
      <c r="N15" s="37">
        <v>45037</v>
      </c>
      <c r="O15" s="59" t="s">
        <v>18</v>
      </c>
      <c r="R15" s="31"/>
    </row>
    <row r="16" spans="1:18" s="39" customFormat="1" ht="24.95" customHeight="1" x14ac:dyDescent="0.2">
      <c r="A16" s="31">
        <v>14</v>
      </c>
      <c r="B16" s="31">
        <v>11</v>
      </c>
      <c r="C16" s="41" t="s">
        <v>151</v>
      </c>
      <c r="D16" s="33">
        <v>495.18</v>
      </c>
      <c r="E16" s="33">
        <v>4187.25</v>
      </c>
      <c r="F16" s="34">
        <f>(D16-E16)/E16</f>
        <v>-0.8817409994626545</v>
      </c>
      <c r="G16" s="35">
        <v>73</v>
      </c>
      <c r="H16" s="36">
        <v>15</v>
      </c>
      <c r="I16" s="36">
        <f t="shared" si="0"/>
        <v>4.8666666666666663</v>
      </c>
      <c r="J16" s="35">
        <v>9</v>
      </c>
      <c r="K16" s="36">
        <v>2</v>
      </c>
      <c r="L16" s="33">
        <v>8478.98</v>
      </c>
      <c r="M16" s="35">
        <v>1550</v>
      </c>
      <c r="N16" s="37">
        <v>45093</v>
      </c>
      <c r="O16" s="59" t="s">
        <v>25</v>
      </c>
      <c r="R16" s="31"/>
    </row>
    <row r="17" spans="1:15" s="43" customFormat="1" ht="24.6" customHeight="1" x14ac:dyDescent="0.15">
      <c r="A17" s="31">
        <v>15</v>
      </c>
      <c r="B17" s="31">
        <v>17</v>
      </c>
      <c r="C17" s="32" t="s">
        <v>42</v>
      </c>
      <c r="D17" s="33">
        <v>345.5</v>
      </c>
      <c r="E17" s="33">
        <v>331.5</v>
      </c>
      <c r="F17" s="34">
        <f>(D17-E17)/E17</f>
        <v>4.2232277526395176E-2</v>
      </c>
      <c r="G17" s="35">
        <v>56</v>
      </c>
      <c r="H17" s="36">
        <v>6</v>
      </c>
      <c r="I17" s="36">
        <f t="shared" si="0"/>
        <v>9.3333333333333339</v>
      </c>
      <c r="J17" s="35">
        <v>1</v>
      </c>
      <c r="K17" s="36">
        <v>17</v>
      </c>
      <c r="L17" s="33">
        <v>236425.83000000005</v>
      </c>
      <c r="M17" s="35">
        <v>37029</v>
      </c>
      <c r="N17" s="37">
        <v>44988</v>
      </c>
      <c r="O17" s="59" t="s">
        <v>43</v>
      </c>
    </row>
    <row r="18" spans="1:15" s="43" customFormat="1" ht="24.6" customHeight="1" x14ac:dyDescent="0.15">
      <c r="A18" s="31">
        <v>16</v>
      </c>
      <c r="B18" s="34" t="s">
        <v>17</v>
      </c>
      <c r="C18" s="41" t="s">
        <v>167</v>
      </c>
      <c r="D18" s="33">
        <v>328.18</v>
      </c>
      <c r="E18" s="34" t="s">
        <v>17</v>
      </c>
      <c r="F18" s="34" t="s">
        <v>17</v>
      </c>
      <c r="G18" s="35">
        <v>48</v>
      </c>
      <c r="H18" s="36">
        <v>5</v>
      </c>
      <c r="I18" s="36">
        <f t="shared" si="0"/>
        <v>9.6</v>
      </c>
      <c r="J18" s="36">
        <v>1</v>
      </c>
      <c r="K18" s="36" t="s">
        <v>17</v>
      </c>
      <c r="L18" s="33">
        <v>2676178.4700000002</v>
      </c>
      <c r="M18" s="35">
        <v>354292</v>
      </c>
      <c r="N18" s="37">
        <v>44911</v>
      </c>
      <c r="O18" s="59" t="s">
        <v>49</v>
      </c>
    </row>
    <row r="19" spans="1:15" s="43" customFormat="1" ht="24.6" customHeight="1" x14ac:dyDescent="0.15">
      <c r="A19" s="31">
        <v>17</v>
      </c>
      <c r="B19" s="31">
        <v>14</v>
      </c>
      <c r="C19" s="41" t="s">
        <v>62</v>
      </c>
      <c r="D19" s="45">
        <v>294.87</v>
      </c>
      <c r="E19" s="45">
        <v>395.88</v>
      </c>
      <c r="F19" s="34">
        <f>(D19-E19)/E19</f>
        <v>-0.255153076689906</v>
      </c>
      <c r="G19" s="46">
        <v>67</v>
      </c>
      <c r="H19" s="36">
        <v>7</v>
      </c>
      <c r="I19" s="36">
        <f t="shared" si="0"/>
        <v>9.5714285714285712</v>
      </c>
      <c r="J19" s="35">
        <v>3</v>
      </c>
      <c r="K19" s="36">
        <v>9</v>
      </c>
      <c r="L19" s="45">
        <v>43139.039999999994</v>
      </c>
      <c r="M19" s="46">
        <v>8693</v>
      </c>
      <c r="N19" s="37">
        <v>45044</v>
      </c>
      <c r="O19" s="59" t="s">
        <v>33</v>
      </c>
    </row>
    <row r="20" spans="1:15" s="43" customFormat="1" ht="24.6" customHeight="1" x14ac:dyDescent="0.15">
      <c r="A20" s="31">
        <v>18</v>
      </c>
      <c r="B20" s="34" t="s">
        <v>17</v>
      </c>
      <c r="C20" s="41" t="s">
        <v>54</v>
      </c>
      <c r="D20" s="33">
        <v>260.5</v>
      </c>
      <c r="E20" s="34" t="s">
        <v>17</v>
      </c>
      <c r="F20" s="34" t="s">
        <v>17</v>
      </c>
      <c r="G20" s="35">
        <v>118</v>
      </c>
      <c r="H20" s="36">
        <v>6</v>
      </c>
      <c r="I20" s="36">
        <f t="shared" si="0"/>
        <v>19.666666666666668</v>
      </c>
      <c r="J20" s="36">
        <v>2</v>
      </c>
      <c r="K20" s="36" t="s">
        <v>17</v>
      </c>
      <c r="L20" s="33">
        <v>71882.03</v>
      </c>
      <c r="M20" s="35">
        <v>14954</v>
      </c>
      <c r="N20" s="37">
        <v>44981</v>
      </c>
      <c r="O20" s="59" t="s">
        <v>33</v>
      </c>
    </row>
    <row r="21" spans="1:15" s="43" customFormat="1" ht="24.6" customHeight="1" x14ac:dyDescent="0.15">
      <c r="A21" s="31">
        <v>19</v>
      </c>
      <c r="B21" s="31">
        <v>28</v>
      </c>
      <c r="C21" s="41" t="s">
        <v>146</v>
      </c>
      <c r="D21" s="33">
        <v>209.62</v>
      </c>
      <c r="E21" s="33">
        <v>110.16</v>
      </c>
      <c r="F21" s="34">
        <f>(D21-E21)/E21</f>
        <v>0.90286855482933925</v>
      </c>
      <c r="G21" s="35">
        <v>42</v>
      </c>
      <c r="H21" s="36">
        <v>2</v>
      </c>
      <c r="I21" s="36">
        <f t="shared" si="0"/>
        <v>21</v>
      </c>
      <c r="J21" s="35">
        <v>1</v>
      </c>
      <c r="K21" s="36" t="s">
        <v>17</v>
      </c>
      <c r="L21" s="33">
        <v>185964.82</v>
      </c>
      <c r="M21" s="35">
        <v>37020</v>
      </c>
      <c r="N21" s="37">
        <v>44568</v>
      </c>
      <c r="O21" s="59" t="s">
        <v>159</v>
      </c>
    </row>
    <row r="22" spans="1:15" s="43" customFormat="1" ht="24.6" customHeight="1" x14ac:dyDescent="0.15">
      <c r="A22" s="31">
        <v>20</v>
      </c>
      <c r="B22" s="31">
        <v>18</v>
      </c>
      <c r="C22" s="41" t="s">
        <v>115</v>
      </c>
      <c r="D22" s="33">
        <v>203</v>
      </c>
      <c r="E22" s="33">
        <v>329.7</v>
      </c>
      <c r="F22" s="34">
        <f>(D22-E22)/E22</f>
        <v>-0.38428874734607216</v>
      </c>
      <c r="G22" s="35">
        <v>36</v>
      </c>
      <c r="H22" s="36">
        <v>4</v>
      </c>
      <c r="I22" s="36">
        <f t="shared" si="0"/>
        <v>9</v>
      </c>
      <c r="J22" s="35">
        <v>2</v>
      </c>
      <c r="K22" s="36">
        <v>6</v>
      </c>
      <c r="L22" s="33">
        <v>7427.3</v>
      </c>
      <c r="M22" s="35">
        <v>1308</v>
      </c>
      <c r="N22" s="37">
        <v>45065</v>
      </c>
      <c r="O22" s="59" t="s">
        <v>49</v>
      </c>
    </row>
    <row r="23" spans="1:15" s="43" customFormat="1" ht="24.6" customHeight="1" x14ac:dyDescent="0.15">
      <c r="A23" s="31">
        <v>21</v>
      </c>
      <c r="B23" s="34" t="s">
        <v>17</v>
      </c>
      <c r="C23" s="41" t="s">
        <v>168</v>
      </c>
      <c r="D23" s="33">
        <v>191.42</v>
      </c>
      <c r="E23" s="34" t="s">
        <v>17</v>
      </c>
      <c r="F23" s="34" t="s">
        <v>17</v>
      </c>
      <c r="G23" s="35">
        <v>55</v>
      </c>
      <c r="H23" s="36">
        <v>1</v>
      </c>
      <c r="I23" s="36">
        <f t="shared" si="0"/>
        <v>55</v>
      </c>
      <c r="J23" s="36">
        <v>1</v>
      </c>
      <c r="K23" s="36" t="s">
        <v>17</v>
      </c>
      <c r="L23" s="33">
        <v>235665.92000000001</v>
      </c>
      <c r="M23" s="35">
        <v>51014</v>
      </c>
      <c r="N23" s="37">
        <v>44400</v>
      </c>
      <c r="O23" s="59" t="s">
        <v>49</v>
      </c>
    </row>
    <row r="24" spans="1:15" s="43" customFormat="1" ht="24.6" customHeight="1" x14ac:dyDescent="0.15">
      <c r="A24" s="31">
        <v>22</v>
      </c>
      <c r="B24" s="31">
        <v>13</v>
      </c>
      <c r="C24" s="41" t="s">
        <v>118</v>
      </c>
      <c r="D24" s="33">
        <v>138.69999999999999</v>
      </c>
      <c r="E24" s="33">
        <v>432.05</v>
      </c>
      <c r="F24" s="34">
        <f>(D24-E24)/E24</f>
        <v>-0.67897234116421712</v>
      </c>
      <c r="G24" s="35">
        <v>30</v>
      </c>
      <c r="H24" s="36">
        <v>2</v>
      </c>
      <c r="I24" s="36">
        <f t="shared" si="0"/>
        <v>15</v>
      </c>
      <c r="J24" s="35">
        <v>2</v>
      </c>
      <c r="K24" s="36">
        <v>5</v>
      </c>
      <c r="L24" s="33">
        <v>7180.35</v>
      </c>
      <c r="M24" s="35">
        <v>1737</v>
      </c>
      <c r="N24" s="37">
        <v>45072</v>
      </c>
      <c r="O24" s="59" t="s">
        <v>30</v>
      </c>
    </row>
    <row r="25" spans="1:15" s="43" customFormat="1" ht="24.6" customHeight="1" x14ac:dyDescent="0.15">
      <c r="A25" s="31">
        <v>23</v>
      </c>
      <c r="B25" s="34" t="s">
        <v>17</v>
      </c>
      <c r="C25" s="41" t="s">
        <v>164</v>
      </c>
      <c r="D25" s="33">
        <v>108</v>
      </c>
      <c r="E25" s="34" t="s">
        <v>17</v>
      </c>
      <c r="F25" s="34" t="s">
        <v>17</v>
      </c>
      <c r="G25" s="35">
        <v>41</v>
      </c>
      <c r="H25" s="34" t="s">
        <v>17</v>
      </c>
      <c r="I25" s="34" t="s">
        <v>17</v>
      </c>
      <c r="J25" s="36">
        <v>2</v>
      </c>
      <c r="K25" s="36" t="s">
        <v>17</v>
      </c>
      <c r="L25" s="33">
        <v>44321</v>
      </c>
      <c r="M25" s="35">
        <v>9695</v>
      </c>
      <c r="N25" s="37">
        <v>44694</v>
      </c>
      <c r="O25" s="59" t="s">
        <v>28</v>
      </c>
    </row>
    <row r="26" spans="1:15" s="43" customFormat="1" ht="24.6" customHeight="1" x14ac:dyDescent="0.15">
      <c r="A26" s="31">
        <v>24</v>
      </c>
      <c r="B26" s="36">
        <v>20</v>
      </c>
      <c r="C26" s="41" t="s">
        <v>130</v>
      </c>
      <c r="D26" s="33">
        <v>106.9</v>
      </c>
      <c r="E26" s="33">
        <v>266.5</v>
      </c>
      <c r="F26" s="34">
        <f t="shared" ref="F26:F31" si="2">(D26-E26)/E26</f>
        <v>-0.59887429643527201</v>
      </c>
      <c r="G26" s="35">
        <v>20</v>
      </c>
      <c r="H26" s="36">
        <v>4</v>
      </c>
      <c r="I26" s="36">
        <f t="shared" ref="I26:I34" si="3">G26/H26</f>
        <v>5</v>
      </c>
      <c r="J26" s="36">
        <v>2</v>
      </c>
      <c r="K26" s="36">
        <v>4</v>
      </c>
      <c r="L26" s="33">
        <v>7464.7199999999993</v>
      </c>
      <c r="M26" s="35">
        <v>1158</v>
      </c>
      <c r="N26" s="37">
        <v>45078</v>
      </c>
      <c r="O26" s="59" t="s">
        <v>33</v>
      </c>
    </row>
    <row r="27" spans="1:15" s="43" customFormat="1" ht="24.6" customHeight="1" x14ac:dyDescent="0.15">
      <c r="A27" s="31">
        <v>25</v>
      </c>
      <c r="B27" s="31">
        <v>39</v>
      </c>
      <c r="C27" s="41" t="s">
        <v>78</v>
      </c>
      <c r="D27" s="33">
        <v>97</v>
      </c>
      <c r="E27" s="33">
        <v>14.8</v>
      </c>
      <c r="F27" s="34">
        <f t="shared" si="2"/>
        <v>5.5540540540540544</v>
      </c>
      <c r="G27" s="35">
        <v>17</v>
      </c>
      <c r="H27" s="36">
        <v>1</v>
      </c>
      <c r="I27" s="36">
        <f t="shared" si="3"/>
        <v>17</v>
      </c>
      <c r="J27" s="36">
        <v>1</v>
      </c>
      <c r="K27" s="36" t="s">
        <v>17</v>
      </c>
      <c r="L27" s="33">
        <v>9756</v>
      </c>
      <c r="M27" s="35">
        <v>1772</v>
      </c>
      <c r="N27" s="37">
        <v>45012</v>
      </c>
      <c r="O27" s="59" t="s">
        <v>73</v>
      </c>
    </row>
    <row r="28" spans="1:15" s="43" customFormat="1" ht="24.6" customHeight="1" x14ac:dyDescent="0.15">
      <c r="A28" s="31">
        <v>26</v>
      </c>
      <c r="B28" s="31">
        <v>38</v>
      </c>
      <c r="C28" s="41" t="s">
        <v>112</v>
      </c>
      <c r="D28" s="33">
        <v>88</v>
      </c>
      <c r="E28" s="33">
        <v>16</v>
      </c>
      <c r="F28" s="34">
        <f t="shared" si="2"/>
        <v>4.5</v>
      </c>
      <c r="G28" s="35">
        <v>17</v>
      </c>
      <c r="H28" s="36">
        <v>1</v>
      </c>
      <c r="I28" s="36">
        <f t="shared" si="3"/>
        <v>17</v>
      </c>
      <c r="J28" s="36">
        <v>1</v>
      </c>
      <c r="K28" s="36">
        <v>6</v>
      </c>
      <c r="L28" s="33">
        <v>1387</v>
      </c>
      <c r="M28" s="35">
        <v>330</v>
      </c>
      <c r="N28" s="37">
        <v>45065</v>
      </c>
      <c r="O28" s="59" t="s">
        <v>73</v>
      </c>
    </row>
    <row r="29" spans="1:15" s="43" customFormat="1" ht="24.6" customHeight="1" x14ac:dyDescent="0.15">
      <c r="A29" s="31">
        <v>27</v>
      </c>
      <c r="B29" s="31">
        <v>15</v>
      </c>
      <c r="C29" s="41" t="s">
        <v>72</v>
      </c>
      <c r="D29" s="33">
        <v>63.8</v>
      </c>
      <c r="E29" s="33">
        <v>366.4</v>
      </c>
      <c r="F29" s="34">
        <f t="shared" si="2"/>
        <v>-0.82587336244541476</v>
      </c>
      <c r="G29" s="35">
        <v>9</v>
      </c>
      <c r="H29" s="36">
        <v>1</v>
      </c>
      <c r="I29" s="36">
        <f t="shared" si="3"/>
        <v>9</v>
      </c>
      <c r="J29" s="35">
        <v>1</v>
      </c>
      <c r="K29" s="36">
        <v>14</v>
      </c>
      <c r="L29" s="33">
        <v>56130</v>
      </c>
      <c r="M29" s="35">
        <v>7461</v>
      </c>
      <c r="N29" s="37">
        <v>45012</v>
      </c>
      <c r="O29" s="59" t="s">
        <v>73</v>
      </c>
    </row>
    <row r="30" spans="1:15" s="43" customFormat="1" ht="24.6" customHeight="1" x14ac:dyDescent="0.15">
      <c r="A30" s="31">
        <v>28</v>
      </c>
      <c r="B30" s="31">
        <v>32</v>
      </c>
      <c r="C30" s="41" t="s">
        <v>61</v>
      </c>
      <c r="D30" s="45">
        <v>62.8</v>
      </c>
      <c r="E30" s="45">
        <v>74.2</v>
      </c>
      <c r="F30" s="34">
        <f t="shared" si="2"/>
        <v>-0.15363881401617258</v>
      </c>
      <c r="G30" s="46">
        <v>11</v>
      </c>
      <c r="H30" s="36">
        <v>1</v>
      </c>
      <c r="I30" s="36">
        <f t="shared" si="3"/>
        <v>11</v>
      </c>
      <c r="J30" s="35">
        <v>1</v>
      </c>
      <c r="K30" s="36">
        <v>9</v>
      </c>
      <c r="L30" s="45">
        <v>10875.570000000003</v>
      </c>
      <c r="M30" s="46">
        <v>1786</v>
      </c>
      <c r="N30" s="37">
        <v>45044</v>
      </c>
      <c r="O30" s="59" t="s">
        <v>33</v>
      </c>
    </row>
    <row r="31" spans="1:15" s="43" customFormat="1" ht="24.6" customHeight="1" x14ac:dyDescent="0.15">
      <c r="A31" s="31">
        <v>29</v>
      </c>
      <c r="B31" s="31">
        <v>27</v>
      </c>
      <c r="C31" s="32" t="s">
        <v>90</v>
      </c>
      <c r="D31" s="33">
        <v>55.6</v>
      </c>
      <c r="E31" s="33">
        <v>110.8</v>
      </c>
      <c r="F31" s="34">
        <f t="shared" si="2"/>
        <v>-0.49819494584837543</v>
      </c>
      <c r="G31" s="35">
        <v>8</v>
      </c>
      <c r="H31" s="36">
        <v>1</v>
      </c>
      <c r="I31" s="36">
        <f t="shared" si="3"/>
        <v>8</v>
      </c>
      <c r="J31" s="35">
        <v>1</v>
      </c>
      <c r="K31" s="36" t="s">
        <v>17</v>
      </c>
      <c r="L31" s="33">
        <v>40974.380000000012</v>
      </c>
      <c r="M31" s="35">
        <v>6944</v>
      </c>
      <c r="N31" s="37">
        <v>44678</v>
      </c>
      <c r="O31" s="59" t="s">
        <v>33</v>
      </c>
    </row>
    <row r="32" spans="1:15" s="43" customFormat="1" ht="24.6" customHeight="1" x14ac:dyDescent="0.15">
      <c r="A32" s="31">
        <v>30</v>
      </c>
      <c r="B32" s="34" t="s">
        <v>17</v>
      </c>
      <c r="C32" s="32" t="s">
        <v>169</v>
      </c>
      <c r="D32" s="33">
        <v>48</v>
      </c>
      <c r="E32" s="34" t="s">
        <v>17</v>
      </c>
      <c r="F32" s="34" t="s">
        <v>17</v>
      </c>
      <c r="G32" s="35">
        <v>7</v>
      </c>
      <c r="H32" s="36">
        <v>1</v>
      </c>
      <c r="I32" s="36">
        <f t="shared" si="3"/>
        <v>7</v>
      </c>
      <c r="J32" s="35">
        <v>1</v>
      </c>
      <c r="K32" s="36" t="s">
        <v>17</v>
      </c>
      <c r="L32" s="33">
        <v>1005233.6900000002</v>
      </c>
      <c r="M32" s="35">
        <v>144293</v>
      </c>
      <c r="N32" s="37">
        <v>44848</v>
      </c>
      <c r="O32" s="59" t="s">
        <v>170</v>
      </c>
    </row>
    <row r="33" spans="1:15" s="43" customFormat="1" ht="24.6" customHeight="1" x14ac:dyDescent="0.15">
      <c r="A33" s="31">
        <v>31</v>
      </c>
      <c r="B33" s="31">
        <v>34</v>
      </c>
      <c r="C33" s="41" t="s">
        <v>134</v>
      </c>
      <c r="D33" s="33">
        <v>44.62</v>
      </c>
      <c r="E33" s="33">
        <v>63.28</v>
      </c>
      <c r="F33" s="34">
        <f>(D33-E33)/E33</f>
        <v>-0.29487989886219979</v>
      </c>
      <c r="G33" s="35">
        <v>10</v>
      </c>
      <c r="H33" s="36">
        <v>1</v>
      </c>
      <c r="I33" s="36">
        <f t="shared" si="3"/>
        <v>10</v>
      </c>
      <c r="J33" s="35">
        <v>1</v>
      </c>
      <c r="K33" s="36" t="s">
        <v>17</v>
      </c>
      <c r="L33" s="33">
        <v>322685.56</v>
      </c>
      <c r="M33" s="35">
        <v>68910</v>
      </c>
      <c r="N33" s="37">
        <v>44771</v>
      </c>
      <c r="O33" s="59" t="s">
        <v>21</v>
      </c>
    </row>
    <row r="34" spans="1:15" s="43" customFormat="1" ht="24.6" customHeight="1" x14ac:dyDescent="0.15">
      <c r="A34" s="31">
        <v>32</v>
      </c>
      <c r="B34" s="34" t="s">
        <v>17</v>
      </c>
      <c r="C34" s="41" t="s">
        <v>166</v>
      </c>
      <c r="D34" s="33">
        <v>29</v>
      </c>
      <c r="E34" s="34" t="s">
        <v>17</v>
      </c>
      <c r="F34" s="34" t="s">
        <v>17</v>
      </c>
      <c r="G34" s="35">
        <v>5</v>
      </c>
      <c r="H34" s="36">
        <v>1</v>
      </c>
      <c r="I34" s="36">
        <f t="shared" si="3"/>
        <v>5</v>
      </c>
      <c r="J34" s="36">
        <v>1</v>
      </c>
      <c r="K34" s="36" t="s">
        <v>17</v>
      </c>
      <c r="L34" s="33">
        <v>177489</v>
      </c>
      <c r="M34" s="35">
        <v>30084</v>
      </c>
      <c r="N34" s="37">
        <v>44834</v>
      </c>
      <c r="O34" s="59" t="s">
        <v>73</v>
      </c>
    </row>
    <row r="35" spans="1:15" s="43" customFormat="1" ht="24.6" customHeight="1" x14ac:dyDescent="0.15">
      <c r="A35" s="31">
        <v>33</v>
      </c>
      <c r="B35" s="34" t="s">
        <v>17</v>
      </c>
      <c r="C35" s="41" t="s">
        <v>104</v>
      </c>
      <c r="D35" s="33">
        <v>28</v>
      </c>
      <c r="E35" s="34" t="s">
        <v>17</v>
      </c>
      <c r="F35" s="34" t="s">
        <v>17</v>
      </c>
      <c r="G35" s="35">
        <v>4</v>
      </c>
      <c r="H35" s="34" t="s">
        <v>17</v>
      </c>
      <c r="I35" s="36" t="s">
        <v>17</v>
      </c>
      <c r="J35" s="36">
        <v>1</v>
      </c>
      <c r="K35" s="36" t="s">
        <v>17</v>
      </c>
      <c r="L35" s="33">
        <v>9387</v>
      </c>
      <c r="M35" s="35">
        <v>1564</v>
      </c>
      <c r="N35" s="37">
        <v>45058</v>
      </c>
      <c r="O35" s="67" t="s">
        <v>28</v>
      </c>
    </row>
    <row r="36" spans="1:15" s="43" customFormat="1" ht="24.6" customHeight="1" x14ac:dyDescent="0.15">
      <c r="A36" s="31">
        <v>34</v>
      </c>
      <c r="B36" s="36">
        <v>24</v>
      </c>
      <c r="C36" s="41" t="s">
        <v>106</v>
      </c>
      <c r="D36" s="33">
        <v>20</v>
      </c>
      <c r="E36" s="33">
        <v>140.32</v>
      </c>
      <c r="F36" s="34">
        <f>(D36-E36)/E36</f>
        <v>-0.8574686431014823</v>
      </c>
      <c r="G36" s="35">
        <v>4</v>
      </c>
      <c r="H36" s="36">
        <v>1</v>
      </c>
      <c r="I36" s="36">
        <f>G36/H36</f>
        <v>4</v>
      </c>
      <c r="J36" s="36">
        <v>1</v>
      </c>
      <c r="K36" s="36">
        <v>7</v>
      </c>
      <c r="L36" s="33">
        <v>30706.67</v>
      </c>
      <c r="M36" s="35">
        <v>6598</v>
      </c>
      <c r="N36" s="37">
        <v>45058</v>
      </c>
      <c r="O36" s="59" t="s">
        <v>25</v>
      </c>
    </row>
    <row r="37" spans="1:15" s="43" customFormat="1" ht="24.6" customHeight="1" x14ac:dyDescent="0.15">
      <c r="A37" s="31">
        <v>35</v>
      </c>
      <c r="B37" s="31">
        <v>29</v>
      </c>
      <c r="C37" s="41" t="s">
        <v>142</v>
      </c>
      <c r="D37" s="33">
        <v>14.5</v>
      </c>
      <c r="E37" s="33">
        <v>100</v>
      </c>
      <c r="F37" s="34">
        <f>(D37-E37)/E37</f>
        <v>-0.85499999999999998</v>
      </c>
      <c r="G37" s="35">
        <v>4</v>
      </c>
      <c r="H37" s="36">
        <v>2</v>
      </c>
      <c r="I37" s="36">
        <f>G37/H37</f>
        <v>2</v>
      </c>
      <c r="J37" s="35">
        <v>1</v>
      </c>
      <c r="K37" s="36">
        <v>3</v>
      </c>
      <c r="L37" s="33">
        <v>3859.44</v>
      </c>
      <c r="M37" s="35">
        <v>588</v>
      </c>
      <c r="N37" s="37">
        <v>45086</v>
      </c>
      <c r="O37" s="59" t="s">
        <v>143</v>
      </c>
    </row>
    <row r="38" spans="1:15" s="43" customFormat="1" ht="24.6" customHeight="1" x14ac:dyDescent="0.15">
      <c r="A38" s="31">
        <v>36</v>
      </c>
      <c r="B38" s="34" t="s">
        <v>17</v>
      </c>
      <c r="C38" s="41" t="s">
        <v>163</v>
      </c>
      <c r="D38" s="33">
        <v>11.5</v>
      </c>
      <c r="E38" s="34" t="s">
        <v>17</v>
      </c>
      <c r="F38" s="34" t="s">
        <v>17</v>
      </c>
      <c r="G38" s="35">
        <v>3</v>
      </c>
      <c r="H38" s="36">
        <v>1</v>
      </c>
      <c r="I38" s="36">
        <f>G38/H38</f>
        <v>3</v>
      </c>
      <c r="J38" s="36">
        <v>1</v>
      </c>
      <c r="K38" s="36" t="s">
        <v>17</v>
      </c>
      <c r="L38" s="33">
        <v>44710.289999999986</v>
      </c>
      <c r="M38" s="35">
        <v>7298</v>
      </c>
      <c r="N38" s="37">
        <v>44932</v>
      </c>
      <c r="O38" s="59" t="s">
        <v>33</v>
      </c>
    </row>
    <row r="39" spans="1:15" s="51" customFormat="1" ht="24" customHeight="1" x14ac:dyDescent="0.2">
      <c r="B39" s="84"/>
      <c r="C39" s="77" t="s">
        <v>128</v>
      </c>
      <c r="D39" s="52">
        <f>SUBTOTAL(109,Table1324567891011[Pajamos 
(GBO)])</f>
        <v>101856.50999999997</v>
      </c>
      <c r="E39" s="52" t="s">
        <v>162</v>
      </c>
      <c r="F39" s="81">
        <f t="shared" ref="F39" si="4">(D39-E39)/E39</f>
        <v>-0.52122949432656795</v>
      </c>
      <c r="G39" s="78">
        <f>SUBTOTAL(109,Table1324567891011[Žiūrovų sk. 
(ADM)])</f>
        <v>16340</v>
      </c>
      <c r="H39" s="70"/>
      <c r="I39" s="70"/>
      <c r="J39" s="70"/>
      <c r="K39" s="70"/>
      <c r="L39" s="52"/>
      <c r="M39" s="78"/>
      <c r="N39" s="53"/>
      <c r="O39" s="79" t="s">
        <v>56</v>
      </c>
    </row>
    <row r="40" spans="1:15" ht="11.25" hidden="1" x14ac:dyDescent="0.15">
      <c r="F40" s="4"/>
      <c r="L40" s="3"/>
    </row>
    <row r="41" spans="1:15" ht="11.25" hidden="1" x14ac:dyDescent="0.15">
      <c r="F41" s="4"/>
      <c r="L41" s="3"/>
    </row>
    <row r="42" spans="1:15" ht="11.25" hidden="1" x14ac:dyDescent="0.15">
      <c r="F42" s="4"/>
      <c r="L42" s="3"/>
    </row>
    <row r="43" spans="1:15" ht="11.25" hidden="1" x14ac:dyDescent="0.15">
      <c r="F43" s="4"/>
      <c r="L43" s="3"/>
    </row>
    <row r="44" spans="1:15" ht="11.25" hidden="1" x14ac:dyDescent="0.15">
      <c r="F44" s="4"/>
      <c r="L44" s="3"/>
    </row>
    <row r="45" spans="1:15" ht="11.25" hidden="1" x14ac:dyDescent="0.15">
      <c r="F45" s="4"/>
      <c r="L45" s="3"/>
    </row>
    <row r="46" spans="1:15" ht="11.25" hidden="1" x14ac:dyDescent="0.15">
      <c r="F46" s="4"/>
      <c r="L46" s="3"/>
    </row>
    <row r="47" spans="1:15" ht="11.25" hidden="1" x14ac:dyDescent="0.15">
      <c r="F47" s="4"/>
      <c r="L47" s="3"/>
    </row>
    <row r="48" spans="1:15" ht="11.25" hidden="1" x14ac:dyDescent="0.15">
      <c r="F48" s="4"/>
      <c r="L48" s="3"/>
    </row>
    <row r="49" spans="1:16383" ht="11.25" hidden="1" x14ac:dyDescent="0.15">
      <c r="F49" s="4"/>
      <c r="L49" s="3"/>
    </row>
    <row r="50" spans="1:16383" ht="11.25" hidden="1" x14ac:dyDescent="0.15">
      <c r="F50" s="4"/>
      <c r="L50" s="3"/>
    </row>
    <row r="51" spans="1:16383" ht="11.25" hidden="1" x14ac:dyDescent="0.15">
      <c r="F51" s="4"/>
      <c r="L51" s="3"/>
    </row>
    <row r="52" spans="1:16383" ht="11.25" hidden="1" x14ac:dyDescent="0.15">
      <c r="F52" s="4"/>
    </row>
    <row r="53" spans="1:16383" s="44" customFormat="1" ht="11.25" hidden="1" x14ac:dyDescent="0.15">
      <c r="A53" s="1"/>
      <c r="B53" s="66"/>
      <c r="C53" s="1"/>
      <c r="D53" s="5"/>
      <c r="E53" s="5"/>
      <c r="F53" s="4"/>
      <c r="K53" s="66"/>
      <c r="L53" s="5"/>
      <c r="N53" s="12"/>
      <c r="O53" s="6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44" customFormat="1" ht="11.25" hidden="1" x14ac:dyDescent="0.15">
      <c r="A54" s="1"/>
      <c r="B54" s="66"/>
      <c r="C54" s="1"/>
      <c r="D54" s="5"/>
      <c r="E54" s="5"/>
      <c r="F54" s="4"/>
      <c r="K54" s="66"/>
      <c r="L54" s="5"/>
      <c r="N54" s="12"/>
      <c r="O54" s="6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  <row r="55" spans="1:16383" s="44" customFormat="1" ht="11.25" hidden="1" x14ac:dyDescent="0.15">
      <c r="A55" s="1"/>
      <c r="B55" s="66"/>
      <c r="C55" s="1"/>
      <c r="D55" s="5"/>
      <c r="E55" s="5"/>
      <c r="F55" s="4"/>
      <c r="K55" s="66"/>
      <c r="L55" s="5"/>
      <c r="N55" s="12"/>
      <c r="O55" s="6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CA807-BD5F-445A-80F4-1F011F77925C}">
  <sheetPr>
    <pageSetUpPr fitToPage="1"/>
  </sheetPr>
  <dimension ref="A1:XFC58"/>
  <sheetViews>
    <sheetView topLeftCell="B12" zoomScale="60" zoomScaleNormal="60" workbookViewId="0">
      <selection activeCell="N38" sqref="N38:O38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148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6" t="s">
        <v>155</v>
      </c>
      <c r="C3" s="21" t="s">
        <v>154</v>
      </c>
      <c r="D3" s="15">
        <v>72860.259999999995</v>
      </c>
      <c r="E3" s="33" t="s">
        <v>17</v>
      </c>
      <c r="F3" s="34" t="s">
        <v>17</v>
      </c>
      <c r="G3" s="17">
        <v>13466</v>
      </c>
      <c r="H3" s="17">
        <v>212</v>
      </c>
      <c r="I3" s="36">
        <f t="shared" ref="I3:I41" si="0">G3/H3</f>
        <v>63.518867924528301</v>
      </c>
      <c r="J3" s="18">
        <v>29</v>
      </c>
      <c r="K3" s="36">
        <v>1</v>
      </c>
      <c r="L3" s="33">
        <v>77986.990000000005</v>
      </c>
      <c r="M3" s="35">
        <v>14559</v>
      </c>
      <c r="N3" s="37">
        <v>45093</v>
      </c>
      <c r="O3" s="59" t="s">
        <v>49</v>
      </c>
    </row>
    <row r="4" spans="1:18" s="39" customFormat="1" ht="24.6" customHeight="1" x14ac:dyDescent="0.2">
      <c r="A4" s="31">
        <v>2</v>
      </c>
      <c r="B4" s="31">
        <v>2</v>
      </c>
      <c r="C4" s="41" t="s">
        <v>133</v>
      </c>
      <c r="D4" s="33">
        <v>33168.32</v>
      </c>
      <c r="E4" s="33">
        <v>42361.25</v>
      </c>
      <c r="F4" s="34">
        <f>(D4-E4)/E4</f>
        <v>-0.21701271799108857</v>
      </c>
      <c r="G4" s="35">
        <v>5084</v>
      </c>
      <c r="H4" s="36">
        <v>102</v>
      </c>
      <c r="I4" s="36">
        <f t="shared" si="0"/>
        <v>49.843137254901961</v>
      </c>
      <c r="J4" s="35">
        <v>16</v>
      </c>
      <c r="K4" s="36">
        <v>3</v>
      </c>
      <c r="L4" s="33">
        <v>204462.63</v>
      </c>
      <c r="M4" s="35">
        <v>33237</v>
      </c>
      <c r="N4" s="37">
        <v>45079</v>
      </c>
      <c r="O4" s="59" t="s">
        <v>23</v>
      </c>
    </row>
    <row r="5" spans="1:18" s="39" customFormat="1" ht="24.95" customHeight="1" x14ac:dyDescent="0.2">
      <c r="A5" s="31">
        <v>3</v>
      </c>
      <c r="B5" s="31">
        <v>1</v>
      </c>
      <c r="C5" s="41" t="s">
        <v>144</v>
      </c>
      <c r="D5" s="33">
        <v>23929.77</v>
      </c>
      <c r="E5" s="33">
        <v>42712.09</v>
      </c>
      <c r="F5" s="34">
        <f>(D5-E5)/E5</f>
        <v>-0.43974247104274217</v>
      </c>
      <c r="G5" s="35">
        <v>3494</v>
      </c>
      <c r="H5" s="36">
        <v>86</v>
      </c>
      <c r="I5" s="36">
        <f t="shared" si="0"/>
        <v>40.627906976744185</v>
      </c>
      <c r="J5" s="35">
        <v>20</v>
      </c>
      <c r="K5" s="36">
        <v>2</v>
      </c>
      <c r="L5" s="33">
        <v>93144.65</v>
      </c>
      <c r="M5" s="35">
        <v>13162</v>
      </c>
      <c r="N5" s="37">
        <v>45086</v>
      </c>
      <c r="O5" s="59" t="s">
        <v>159</v>
      </c>
      <c r="R5" s="31"/>
    </row>
    <row r="6" spans="1:18" s="39" customFormat="1" ht="24.95" customHeight="1" x14ac:dyDescent="0.2">
      <c r="A6" s="31">
        <v>4</v>
      </c>
      <c r="B6" s="18" t="s">
        <v>15</v>
      </c>
      <c r="C6" s="41" t="s">
        <v>150</v>
      </c>
      <c r="D6" s="33">
        <v>22411.89</v>
      </c>
      <c r="E6" s="33" t="s">
        <v>17</v>
      </c>
      <c r="F6" s="34" t="s">
        <v>17</v>
      </c>
      <c r="G6" s="35">
        <v>2878</v>
      </c>
      <c r="H6" s="36">
        <v>106</v>
      </c>
      <c r="I6" s="36">
        <f t="shared" si="0"/>
        <v>27.150943396226417</v>
      </c>
      <c r="J6" s="35">
        <v>14</v>
      </c>
      <c r="K6" s="36">
        <v>1</v>
      </c>
      <c r="L6" s="33">
        <v>28588.23</v>
      </c>
      <c r="M6" s="35">
        <v>3835</v>
      </c>
      <c r="N6" s="37">
        <v>45093</v>
      </c>
      <c r="O6" s="59" t="s">
        <v>21</v>
      </c>
      <c r="R6" s="31"/>
    </row>
    <row r="7" spans="1:18" s="39" customFormat="1" ht="24.95" customHeight="1" x14ac:dyDescent="0.2">
      <c r="A7" s="31">
        <v>5</v>
      </c>
      <c r="B7" s="31">
        <v>3</v>
      </c>
      <c r="C7" s="41" t="s">
        <v>114</v>
      </c>
      <c r="D7" s="33">
        <v>13876.22</v>
      </c>
      <c r="E7" s="33">
        <v>12404.61</v>
      </c>
      <c r="F7" s="34">
        <f t="shared" ref="F7:F12" si="1">(D7-E7)/E7</f>
        <v>0.11863412070190024</v>
      </c>
      <c r="G7" s="35">
        <v>1960</v>
      </c>
      <c r="H7" s="36">
        <v>45</v>
      </c>
      <c r="I7" s="36">
        <f t="shared" si="0"/>
        <v>43.555555555555557</v>
      </c>
      <c r="J7" s="35">
        <v>9</v>
      </c>
      <c r="K7" s="36">
        <v>5</v>
      </c>
      <c r="L7" s="33">
        <v>322450.09999999998</v>
      </c>
      <c r="M7" s="35">
        <v>44037</v>
      </c>
      <c r="N7" s="37">
        <v>45065</v>
      </c>
      <c r="O7" s="59" t="s">
        <v>160</v>
      </c>
      <c r="R7" s="31"/>
    </row>
    <row r="8" spans="1:18" s="39" customFormat="1" ht="24.95" customHeight="1" x14ac:dyDescent="0.2">
      <c r="A8" s="31">
        <v>6</v>
      </c>
      <c r="B8" s="31">
        <v>7</v>
      </c>
      <c r="C8" s="41" t="s">
        <v>136</v>
      </c>
      <c r="D8" s="33">
        <v>8923.57</v>
      </c>
      <c r="E8" s="33">
        <v>7320.68</v>
      </c>
      <c r="F8" s="34">
        <f t="shared" si="1"/>
        <v>0.21895370375429596</v>
      </c>
      <c r="G8" s="35">
        <v>1236</v>
      </c>
      <c r="H8" s="36">
        <v>24</v>
      </c>
      <c r="I8" s="36">
        <f t="shared" si="0"/>
        <v>51.5</v>
      </c>
      <c r="J8" s="35">
        <v>8</v>
      </c>
      <c r="K8" s="36">
        <v>3</v>
      </c>
      <c r="L8" s="33">
        <v>45292.26</v>
      </c>
      <c r="M8" s="35">
        <v>6861</v>
      </c>
      <c r="N8" s="37">
        <v>45079</v>
      </c>
      <c r="O8" s="59" t="s">
        <v>49</v>
      </c>
      <c r="R8" s="31"/>
    </row>
    <row r="9" spans="1:18" s="39" customFormat="1" ht="24.95" customHeight="1" x14ac:dyDescent="0.2">
      <c r="A9" s="31">
        <v>7</v>
      </c>
      <c r="B9" s="31">
        <v>5</v>
      </c>
      <c r="C9" s="32" t="s">
        <v>19</v>
      </c>
      <c r="D9" s="33">
        <v>7590</v>
      </c>
      <c r="E9" s="33">
        <v>9206.9699999999993</v>
      </c>
      <c r="F9" s="34">
        <f t="shared" si="1"/>
        <v>-0.17562455400636687</v>
      </c>
      <c r="G9" s="35">
        <v>1409</v>
      </c>
      <c r="H9" s="36">
        <v>41</v>
      </c>
      <c r="I9" s="36">
        <f t="shared" si="0"/>
        <v>34.365853658536587</v>
      </c>
      <c r="J9" s="35">
        <v>9</v>
      </c>
      <c r="K9" s="36">
        <v>11</v>
      </c>
      <c r="L9" s="33">
        <v>566718.96</v>
      </c>
      <c r="M9" s="35">
        <v>103692</v>
      </c>
      <c r="N9" s="37">
        <v>45023</v>
      </c>
      <c r="O9" s="59" t="s">
        <v>160</v>
      </c>
      <c r="R9" s="31"/>
    </row>
    <row r="10" spans="1:18" s="39" customFormat="1" ht="24.95" customHeight="1" x14ac:dyDescent="0.2">
      <c r="A10" s="31">
        <v>8</v>
      </c>
      <c r="B10" s="31">
        <v>4</v>
      </c>
      <c r="C10" s="41" t="s">
        <v>145</v>
      </c>
      <c r="D10" s="33">
        <v>7435.73</v>
      </c>
      <c r="E10" s="33">
        <v>11762.63</v>
      </c>
      <c r="F10" s="34">
        <f t="shared" si="1"/>
        <v>-0.36785140738083233</v>
      </c>
      <c r="G10" s="35">
        <v>1101</v>
      </c>
      <c r="H10" s="36">
        <v>36</v>
      </c>
      <c r="I10" s="36">
        <f t="shared" si="0"/>
        <v>30.583333333333332</v>
      </c>
      <c r="J10" s="35">
        <v>9</v>
      </c>
      <c r="K10" s="36">
        <v>2</v>
      </c>
      <c r="L10" s="33">
        <v>28461.18</v>
      </c>
      <c r="M10" s="35">
        <v>4425</v>
      </c>
      <c r="N10" s="37">
        <v>45086</v>
      </c>
      <c r="O10" s="59" t="s">
        <v>160</v>
      </c>
      <c r="R10" s="31"/>
    </row>
    <row r="11" spans="1:18" s="39" customFormat="1" ht="24.95" customHeight="1" x14ac:dyDescent="0.2">
      <c r="A11" s="31">
        <v>9</v>
      </c>
      <c r="B11" s="31">
        <v>6</v>
      </c>
      <c r="C11" s="32" t="s">
        <v>126</v>
      </c>
      <c r="D11" s="33">
        <v>7435.66</v>
      </c>
      <c r="E11" s="33">
        <v>8707.2199999999993</v>
      </c>
      <c r="F11" s="34">
        <f t="shared" si="1"/>
        <v>-0.14603512946726965</v>
      </c>
      <c r="G11" s="35">
        <v>1240</v>
      </c>
      <c r="H11" s="36">
        <v>36</v>
      </c>
      <c r="I11" s="36">
        <f t="shared" si="0"/>
        <v>34.444444444444443</v>
      </c>
      <c r="J11" s="35">
        <v>11</v>
      </c>
      <c r="K11" s="36">
        <v>4</v>
      </c>
      <c r="L11" s="33">
        <v>70242.94</v>
      </c>
      <c r="M11" s="35">
        <v>13113</v>
      </c>
      <c r="N11" s="37">
        <v>45072</v>
      </c>
      <c r="O11" s="59" t="s">
        <v>49</v>
      </c>
      <c r="R11" s="31"/>
    </row>
    <row r="12" spans="1:18" s="39" customFormat="1" ht="24.6" customHeight="1" x14ac:dyDescent="0.2">
      <c r="A12" s="31">
        <v>10</v>
      </c>
      <c r="B12" s="31">
        <v>8</v>
      </c>
      <c r="C12" s="41" t="s">
        <v>85</v>
      </c>
      <c r="D12" s="33">
        <v>5345.22</v>
      </c>
      <c r="E12" s="33">
        <v>5970.46</v>
      </c>
      <c r="F12" s="34">
        <f t="shared" si="1"/>
        <v>-0.10472224920692874</v>
      </c>
      <c r="G12" s="35">
        <v>755</v>
      </c>
      <c r="H12" s="36">
        <v>23</v>
      </c>
      <c r="I12" s="36">
        <f t="shared" si="0"/>
        <v>32.826086956521742</v>
      </c>
      <c r="J12" s="35">
        <v>4</v>
      </c>
      <c r="K12" s="36">
        <v>7</v>
      </c>
      <c r="L12" s="33">
        <v>268551.52</v>
      </c>
      <c r="M12" s="35">
        <v>37601</v>
      </c>
      <c r="N12" s="37">
        <v>45051</v>
      </c>
      <c r="O12" s="59" t="s">
        <v>49</v>
      </c>
      <c r="R12" s="31"/>
    </row>
    <row r="13" spans="1:18" s="39" customFormat="1" ht="24.95" customHeight="1" x14ac:dyDescent="0.2">
      <c r="A13" s="31">
        <v>11</v>
      </c>
      <c r="B13" s="18" t="s">
        <v>15</v>
      </c>
      <c r="C13" s="41" t="s">
        <v>151</v>
      </c>
      <c r="D13" s="33">
        <v>4187.25</v>
      </c>
      <c r="E13" s="33" t="s">
        <v>17</v>
      </c>
      <c r="F13" s="34" t="s">
        <v>17</v>
      </c>
      <c r="G13" s="35">
        <v>611</v>
      </c>
      <c r="H13" s="36">
        <v>44</v>
      </c>
      <c r="I13" s="36">
        <f t="shared" si="0"/>
        <v>13.886363636363637</v>
      </c>
      <c r="J13" s="35">
        <v>15</v>
      </c>
      <c r="K13" s="36">
        <v>1</v>
      </c>
      <c r="L13" s="33">
        <v>4187.25</v>
      </c>
      <c r="M13" s="35">
        <v>611</v>
      </c>
      <c r="N13" s="37">
        <v>45093</v>
      </c>
      <c r="O13" s="59" t="s">
        <v>25</v>
      </c>
      <c r="R13" s="31"/>
    </row>
    <row r="14" spans="1:18" s="39" customFormat="1" ht="24.95" customHeight="1" x14ac:dyDescent="0.2">
      <c r="A14" s="31">
        <v>12</v>
      </c>
      <c r="B14" s="31">
        <v>9</v>
      </c>
      <c r="C14" s="32" t="s">
        <v>16</v>
      </c>
      <c r="D14" s="33">
        <v>1051.3699999999999</v>
      </c>
      <c r="E14" s="33">
        <v>2011.48</v>
      </c>
      <c r="F14" s="34">
        <f>(D14-E14)/E14</f>
        <v>-0.47731521069063582</v>
      </c>
      <c r="G14" s="35">
        <v>218</v>
      </c>
      <c r="H14" s="36">
        <v>14</v>
      </c>
      <c r="I14" s="36">
        <f t="shared" si="0"/>
        <v>15.571428571428571</v>
      </c>
      <c r="J14" s="35">
        <v>4</v>
      </c>
      <c r="K14" s="36">
        <v>9</v>
      </c>
      <c r="L14" s="33">
        <v>244110.37</v>
      </c>
      <c r="M14" s="35">
        <v>48566</v>
      </c>
      <c r="N14" s="37">
        <v>45037</v>
      </c>
      <c r="O14" s="59" t="s">
        <v>18</v>
      </c>
      <c r="R14" s="31"/>
    </row>
    <row r="15" spans="1:18" s="39" customFormat="1" ht="24.6" customHeight="1" x14ac:dyDescent="0.2">
      <c r="A15" s="31">
        <v>13</v>
      </c>
      <c r="B15" s="31">
        <v>13</v>
      </c>
      <c r="C15" s="41" t="s">
        <v>118</v>
      </c>
      <c r="D15" s="33">
        <v>432.05</v>
      </c>
      <c r="E15" s="33">
        <v>928.45</v>
      </c>
      <c r="F15" s="34">
        <f>(D15-E15)/E15</f>
        <v>-0.53465453174645916</v>
      </c>
      <c r="G15" s="35">
        <v>97</v>
      </c>
      <c r="H15" s="36">
        <v>6</v>
      </c>
      <c r="I15" s="36">
        <f t="shared" si="0"/>
        <v>16.166666666666668</v>
      </c>
      <c r="J15" s="35">
        <v>3</v>
      </c>
      <c r="K15" s="36">
        <v>4</v>
      </c>
      <c r="L15" s="33">
        <v>6761.7</v>
      </c>
      <c r="M15" s="35">
        <v>1624</v>
      </c>
      <c r="N15" s="37">
        <v>45072</v>
      </c>
      <c r="O15" s="59" t="s">
        <v>30</v>
      </c>
      <c r="R15" s="31"/>
    </row>
    <row r="16" spans="1:18" s="39" customFormat="1" ht="24.95" customHeight="1" x14ac:dyDescent="0.2">
      <c r="A16" s="31">
        <v>14</v>
      </c>
      <c r="B16" s="31">
        <v>11</v>
      </c>
      <c r="C16" s="41" t="s">
        <v>62</v>
      </c>
      <c r="D16" s="45">
        <v>395.88</v>
      </c>
      <c r="E16" s="45">
        <v>1526.95</v>
      </c>
      <c r="F16" s="34">
        <f>(D16-E16)/E16</f>
        <v>-0.74073807262844238</v>
      </c>
      <c r="G16" s="46">
        <v>83</v>
      </c>
      <c r="H16" s="36">
        <v>7</v>
      </c>
      <c r="I16" s="36">
        <f t="shared" si="0"/>
        <v>11.857142857142858</v>
      </c>
      <c r="J16" s="35">
        <v>3</v>
      </c>
      <c r="K16" s="36">
        <v>8</v>
      </c>
      <c r="L16" s="45">
        <v>42491.55999999999</v>
      </c>
      <c r="M16" s="46">
        <v>8519</v>
      </c>
      <c r="N16" s="37">
        <v>45044</v>
      </c>
      <c r="O16" s="59" t="s">
        <v>33</v>
      </c>
      <c r="R16" s="31"/>
    </row>
    <row r="17" spans="1:15" s="43" customFormat="1" ht="24.6" customHeight="1" x14ac:dyDescent="0.15">
      <c r="A17" s="31">
        <v>15</v>
      </c>
      <c r="B17" s="31" t="s">
        <v>17</v>
      </c>
      <c r="C17" s="41" t="s">
        <v>72</v>
      </c>
      <c r="D17" s="33">
        <v>366.4</v>
      </c>
      <c r="E17" s="33" t="s">
        <v>17</v>
      </c>
      <c r="F17" s="34" t="s">
        <v>17</v>
      </c>
      <c r="G17" s="35">
        <v>60</v>
      </c>
      <c r="H17" s="36">
        <v>2</v>
      </c>
      <c r="I17" s="36">
        <f t="shared" si="0"/>
        <v>30</v>
      </c>
      <c r="J17" s="35">
        <v>2</v>
      </c>
      <c r="K17" s="31">
        <v>13</v>
      </c>
      <c r="L17" s="33">
        <v>56066</v>
      </c>
      <c r="M17" s="35">
        <v>7452</v>
      </c>
      <c r="N17" s="37">
        <v>45012</v>
      </c>
      <c r="O17" s="59" t="s">
        <v>73</v>
      </c>
    </row>
    <row r="18" spans="1:15" s="43" customFormat="1" ht="24.95" customHeight="1" x14ac:dyDescent="0.15">
      <c r="A18" s="31">
        <v>16</v>
      </c>
      <c r="B18" s="34" t="s">
        <v>17</v>
      </c>
      <c r="C18" s="41" t="s">
        <v>152</v>
      </c>
      <c r="D18" s="33">
        <v>358.7</v>
      </c>
      <c r="E18" s="33" t="s">
        <v>17</v>
      </c>
      <c r="F18" s="34" t="s">
        <v>17</v>
      </c>
      <c r="G18" s="35">
        <v>154</v>
      </c>
      <c r="H18" s="36">
        <v>7</v>
      </c>
      <c r="I18" s="36">
        <f t="shared" si="0"/>
        <v>22</v>
      </c>
      <c r="J18" s="35">
        <v>2</v>
      </c>
      <c r="K18" s="34" t="s">
        <v>17</v>
      </c>
      <c r="L18" s="33">
        <v>100895.33</v>
      </c>
      <c r="M18" s="35">
        <v>21175</v>
      </c>
      <c r="N18" s="37">
        <v>44603</v>
      </c>
      <c r="O18" s="59" t="s">
        <v>25</v>
      </c>
    </row>
    <row r="19" spans="1:15" s="43" customFormat="1" ht="24.6" customHeight="1" x14ac:dyDescent="0.15">
      <c r="A19" s="31">
        <v>17</v>
      </c>
      <c r="B19" s="31">
        <v>22</v>
      </c>
      <c r="C19" s="32" t="s">
        <v>42</v>
      </c>
      <c r="D19" s="33">
        <v>331.5</v>
      </c>
      <c r="E19" s="33">
        <v>224.5</v>
      </c>
      <c r="F19" s="34">
        <f>(D19-E19)/E19</f>
        <v>0.47661469933184858</v>
      </c>
      <c r="G19" s="35">
        <v>50</v>
      </c>
      <c r="H19" s="36">
        <v>4</v>
      </c>
      <c r="I19" s="36">
        <f t="shared" si="0"/>
        <v>12.5</v>
      </c>
      <c r="J19" s="35">
        <v>1</v>
      </c>
      <c r="K19" s="36">
        <v>16</v>
      </c>
      <c r="L19" s="33">
        <v>235374.13000000003</v>
      </c>
      <c r="M19" s="35">
        <v>36861</v>
      </c>
      <c r="N19" s="37">
        <v>44988</v>
      </c>
      <c r="O19" s="59" t="s">
        <v>43</v>
      </c>
    </row>
    <row r="20" spans="1:15" s="43" customFormat="1" ht="24.6" customHeight="1" x14ac:dyDescent="0.15">
      <c r="A20" s="31">
        <v>18</v>
      </c>
      <c r="B20" s="31">
        <v>18</v>
      </c>
      <c r="C20" s="41" t="s">
        <v>115</v>
      </c>
      <c r="D20" s="33">
        <v>329.7</v>
      </c>
      <c r="E20" s="33">
        <v>455</v>
      </c>
      <c r="F20" s="34">
        <f>(D20-E20)/E20</f>
        <v>-0.27538461538461539</v>
      </c>
      <c r="G20" s="35">
        <v>56</v>
      </c>
      <c r="H20" s="36">
        <v>6</v>
      </c>
      <c r="I20" s="36">
        <f t="shared" si="0"/>
        <v>9.3333333333333339</v>
      </c>
      <c r="J20" s="35">
        <v>2</v>
      </c>
      <c r="K20" s="36">
        <v>5</v>
      </c>
      <c r="L20" s="33">
        <v>7109.6</v>
      </c>
      <c r="M20" s="35">
        <v>1254</v>
      </c>
      <c r="N20" s="37">
        <v>45065</v>
      </c>
      <c r="O20" s="59" t="s">
        <v>49</v>
      </c>
    </row>
    <row r="21" spans="1:15" s="43" customFormat="1" ht="24.6" customHeight="1" x14ac:dyDescent="0.15">
      <c r="A21" s="31">
        <v>19</v>
      </c>
      <c r="B21" s="34" t="s">
        <v>17</v>
      </c>
      <c r="C21" s="41" t="s">
        <v>153</v>
      </c>
      <c r="D21" s="33">
        <v>300</v>
      </c>
      <c r="E21" s="33" t="s">
        <v>17</v>
      </c>
      <c r="F21" s="34" t="s">
        <v>17</v>
      </c>
      <c r="G21" s="35">
        <v>94</v>
      </c>
      <c r="H21" s="36">
        <v>6</v>
      </c>
      <c r="I21" s="36">
        <f t="shared" si="0"/>
        <v>15.666666666666666</v>
      </c>
      <c r="J21" s="35">
        <v>2</v>
      </c>
      <c r="K21" s="34" t="s">
        <v>17</v>
      </c>
      <c r="L21" s="33">
        <v>17330.400000000001</v>
      </c>
      <c r="M21" s="35">
        <v>3599</v>
      </c>
      <c r="N21" s="37">
        <v>44645</v>
      </c>
      <c r="O21" s="59" t="s">
        <v>25</v>
      </c>
    </row>
    <row r="22" spans="1:15" s="43" customFormat="1" ht="24.6" customHeight="1" x14ac:dyDescent="0.15">
      <c r="A22" s="31">
        <v>20</v>
      </c>
      <c r="B22" s="31">
        <v>16</v>
      </c>
      <c r="C22" s="41" t="s">
        <v>130</v>
      </c>
      <c r="D22" s="33">
        <v>266.5</v>
      </c>
      <c r="E22" s="33">
        <v>482.54</v>
      </c>
      <c r="F22" s="34">
        <f>(D22-E22)/E22</f>
        <v>-0.44771417913540851</v>
      </c>
      <c r="G22" s="35">
        <v>39</v>
      </c>
      <c r="H22" s="36">
        <v>3</v>
      </c>
      <c r="I22" s="36">
        <f t="shared" si="0"/>
        <v>13</v>
      </c>
      <c r="J22" s="35">
        <v>1</v>
      </c>
      <c r="K22" s="36">
        <v>3</v>
      </c>
      <c r="L22" s="33">
        <v>7193.2199999999993</v>
      </c>
      <c r="M22" s="35">
        <v>1115</v>
      </c>
      <c r="N22" s="37">
        <v>45078</v>
      </c>
      <c r="O22" s="59" t="s">
        <v>33</v>
      </c>
    </row>
    <row r="23" spans="1:15" s="43" customFormat="1" ht="24.6" customHeight="1" x14ac:dyDescent="0.15">
      <c r="A23" s="31">
        <v>21</v>
      </c>
      <c r="B23" s="31">
        <v>31</v>
      </c>
      <c r="C23" s="41" t="s">
        <v>83</v>
      </c>
      <c r="D23" s="33">
        <v>161</v>
      </c>
      <c r="E23" s="33">
        <v>11</v>
      </c>
      <c r="F23" s="34">
        <f>(D23-E23)/E23</f>
        <v>13.636363636363637</v>
      </c>
      <c r="G23" s="35">
        <v>29</v>
      </c>
      <c r="H23" s="36">
        <v>1</v>
      </c>
      <c r="I23" s="36">
        <f t="shared" si="0"/>
        <v>29</v>
      </c>
      <c r="J23" s="35">
        <v>1</v>
      </c>
      <c r="K23" s="36">
        <v>7</v>
      </c>
      <c r="L23" s="33">
        <v>1193.8</v>
      </c>
      <c r="M23" s="35">
        <v>222</v>
      </c>
      <c r="N23" s="37">
        <v>45052</v>
      </c>
      <c r="O23" s="59" t="s">
        <v>30</v>
      </c>
    </row>
    <row r="24" spans="1:15" s="43" customFormat="1" ht="24.6" customHeight="1" x14ac:dyDescent="0.15">
      <c r="A24" s="31">
        <v>22</v>
      </c>
      <c r="B24" s="31" t="s">
        <v>17</v>
      </c>
      <c r="C24" s="41" t="s">
        <v>92</v>
      </c>
      <c r="D24" s="33">
        <v>160</v>
      </c>
      <c r="E24" s="33" t="s">
        <v>17</v>
      </c>
      <c r="F24" s="34" t="s">
        <v>17</v>
      </c>
      <c r="G24" s="35">
        <v>30</v>
      </c>
      <c r="H24" s="36">
        <v>1</v>
      </c>
      <c r="I24" s="36">
        <f t="shared" si="0"/>
        <v>30</v>
      </c>
      <c r="J24" s="36">
        <v>1</v>
      </c>
      <c r="K24" s="36">
        <v>7</v>
      </c>
      <c r="L24" s="33">
        <v>3658</v>
      </c>
      <c r="M24" s="35">
        <v>645</v>
      </c>
      <c r="N24" s="37">
        <v>45051</v>
      </c>
      <c r="O24" s="59" t="s">
        <v>73</v>
      </c>
    </row>
    <row r="25" spans="1:15" s="43" customFormat="1" ht="24.6" customHeight="1" x14ac:dyDescent="0.15">
      <c r="A25" s="31">
        <v>23</v>
      </c>
      <c r="B25" s="31">
        <v>26</v>
      </c>
      <c r="C25" s="41" t="s">
        <v>86</v>
      </c>
      <c r="D25" s="33">
        <v>156.69999999999999</v>
      </c>
      <c r="E25" s="33">
        <v>98.55</v>
      </c>
      <c r="F25" s="34">
        <f>(D25-E25)/E25</f>
        <v>0.59005580923389134</v>
      </c>
      <c r="G25" s="35">
        <v>28</v>
      </c>
      <c r="H25" s="36">
        <v>1</v>
      </c>
      <c r="I25" s="36">
        <f t="shared" si="0"/>
        <v>28</v>
      </c>
      <c r="J25" s="35">
        <v>1</v>
      </c>
      <c r="K25" s="36">
        <v>8</v>
      </c>
      <c r="L25" s="33">
        <v>16158.87</v>
      </c>
      <c r="M25" s="35">
        <v>2570</v>
      </c>
      <c r="N25" s="37">
        <v>45047</v>
      </c>
      <c r="O25" s="59" t="s">
        <v>160</v>
      </c>
    </row>
    <row r="26" spans="1:15" s="43" customFormat="1" ht="24.6" customHeight="1" x14ac:dyDescent="0.15">
      <c r="A26" s="31">
        <v>24</v>
      </c>
      <c r="B26" s="31">
        <v>12</v>
      </c>
      <c r="C26" s="41" t="s">
        <v>106</v>
      </c>
      <c r="D26" s="33">
        <v>140.32</v>
      </c>
      <c r="E26" s="33">
        <v>1450.16</v>
      </c>
      <c r="F26" s="34">
        <f>(D26-E26)/E26</f>
        <v>-0.90323826336404267</v>
      </c>
      <c r="G26" s="35">
        <v>31</v>
      </c>
      <c r="H26" s="36">
        <v>5</v>
      </c>
      <c r="I26" s="36">
        <f t="shared" si="0"/>
        <v>6.2</v>
      </c>
      <c r="J26" s="35">
        <v>3</v>
      </c>
      <c r="K26" s="36">
        <v>6</v>
      </c>
      <c r="L26" s="33">
        <v>30502.92</v>
      </c>
      <c r="M26" s="35">
        <v>6542</v>
      </c>
      <c r="N26" s="37">
        <v>45058</v>
      </c>
      <c r="O26" s="59" t="s">
        <v>25</v>
      </c>
    </row>
    <row r="27" spans="1:15" s="43" customFormat="1" ht="24.6" customHeight="1" x14ac:dyDescent="0.15">
      <c r="A27" s="31">
        <v>25</v>
      </c>
      <c r="B27" s="34" t="s">
        <v>17</v>
      </c>
      <c r="C27" s="41" t="s">
        <v>41</v>
      </c>
      <c r="D27" s="33">
        <v>122</v>
      </c>
      <c r="E27" s="33" t="s">
        <v>17</v>
      </c>
      <c r="F27" s="34" t="s">
        <v>17</v>
      </c>
      <c r="G27" s="35">
        <v>17</v>
      </c>
      <c r="H27" s="36">
        <v>1</v>
      </c>
      <c r="I27" s="36">
        <f t="shared" si="0"/>
        <v>17</v>
      </c>
      <c r="J27" s="35">
        <v>1</v>
      </c>
      <c r="K27" s="34" t="s">
        <v>17</v>
      </c>
      <c r="L27" s="33">
        <v>129989.08</v>
      </c>
      <c r="M27" s="35">
        <v>20395</v>
      </c>
      <c r="N27" s="37">
        <v>44981</v>
      </c>
      <c r="O27" s="59" t="s">
        <v>39</v>
      </c>
    </row>
    <row r="28" spans="1:15" s="43" customFormat="1" ht="24.6" customHeight="1" x14ac:dyDescent="0.15">
      <c r="A28" s="31">
        <v>26</v>
      </c>
      <c r="B28" s="31" t="s">
        <v>17</v>
      </c>
      <c r="C28" s="21" t="s">
        <v>74</v>
      </c>
      <c r="D28" s="15">
        <v>118.4</v>
      </c>
      <c r="E28" s="15" t="s">
        <v>17</v>
      </c>
      <c r="F28" s="34" t="s">
        <v>17</v>
      </c>
      <c r="G28" s="17">
        <v>16</v>
      </c>
      <c r="H28" s="17">
        <v>1</v>
      </c>
      <c r="I28" s="36">
        <f t="shared" si="0"/>
        <v>16</v>
      </c>
      <c r="J28" s="18">
        <v>1</v>
      </c>
      <c r="K28" s="31">
        <v>13</v>
      </c>
      <c r="L28" s="15">
        <v>45706</v>
      </c>
      <c r="M28" s="17">
        <v>5365</v>
      </c>
      <c r="N28" s="19">
        <v>45012</v>
      </c>
      <c r="O28" s="68" t="s">
        <v>73</v>
      </c>
    </row>
    <row r="29" spans="1:15" s="43" customFormat="1" ht="24.6" customHeight="1" x14ac:dyDescent="0.15">
      <c r="A29" s="31">
        <v>27</v>
      </c>
      <c r="B29" s="31">
        <v>27</v>
      </c>
      <c r="C29" s="32" t="s">
        <v>90</v>
      </c>
      <c r="D29" s="33">
        <v>110.8</v>
      </c>
      <c r="E29" s="33">
        <v>60.9</v>
      </c>
      <c r="F29" s="34">
        <f>(D29-E29)/E29</f>
        <v>0.819376026272578</v>
      </c>
      <c r="G29" s="35">
        <v>16</v>
      </c>
      <c r="H29" s="36">
        <v>1</v>
      </c>
      <c r="I29" s="36">
        <f t="shared" si="0"/>
        <v>16</v>
      </c>
      <c r="J29" s="35">
        <v>1</v>
      </c>
      <c r="K29" s="36" t="s">
        <v>17</v>
      </c>
      <c r="L29" s="33">
        <v>40709.780000000013</v>
      </c>
      <c r="M29" s="35">
        <v>6904</v>
      </c>
      <c r="N29" s="37">
        <v>44678</v>
      </c>
      <c r="O29" s="59" t="s">
        <v>33</v>
      </c>
    </row>
    <row r="30" spans="1:15" s="43" customFormat="1" ht="24.6" customHeight="1" x14ac:dyDescent="0.15">
      <c r="A30" s="31">
        <v>28</v>
      </c>
      <c r="B30" s="31">
        <v>15</v>
      </c>
      <c r="C30" s="41" t="s">
        <v>146</v>
      </c>
      <c r="D30" s="33">
        <v>110.16</v>
      </c>
      <c r="E30" s="33">
        <v>529.21</v>
      </c>
      <c r="F30" s="34">
        <f>(D30-E30)/E30</f>
        <v>-0.7918406681657566</v>
      </c>
      <c r="G30" s="35">
        <v>22</v>
      </c>
      <c r="H30" s="36">
        <v>1</v>
      </c>
      <c r="I30" s="36">
        <f t="shared" si="0"/>
        <v>22</v>
      </c>
      <c r="J30" s="35">
        <v>1</v>
      </c>
      <c r="K30" s="34" t="s">
        <v>17</v>
      </c>
      <c r="L30" s="33">
        <v>185641.76</v>
      </c>
      <c r="M30" s="35">
        <v>36944</v>
      </c>
      <c r="N30" s="37">
        <v>44568</v>
      </c>
      <c r="O30" s="59" t="s">
        <v>159</v>
      </c>
    </row>
    <row r="31" spans="1:15" s="43" customFormat="1" ht="24.6" customHeight="1" x14ac:dyDescent="0.15">
      <c r="A31" s="31">
        <v>29</v>
      </c>
      <c r="B31" s="31">
        <v>10</v>
      </c>
      <c r="C31" s="41" t="s">
        <v>142</v>
      </c>
      <c r="D31" s="33">
        <v>100</v>
      </c>
      <c r="E31" s="33">
        <v>1737.01</v>
      </c>
      <c r="F31" s="34">
        <f>(D31-E31)/E31</f>
        <v>-0.94242980754284666</v>
      </c>
      <c r="G31" s="35">
        <v>14</v>
      </c>
      <c r="H31" s="36">
        <v>4</v>
      </c>
      <c r="I31" s="36">
        <f t="shared" si="0"/>
        <v>3.5</v>
      </c>
      <c r="J31" s="35">
        <v>2</v>
      </c>
      <c r="K31" s="36">
        <v>2</v>
      </c>
      <c r="L31" s="33">
        <v>3770.74</v>
      </c>
      <c r="M31" s="35">
        <v>574</v>
      </c>
      <c r="N31" s="37">
        <v>45086</v>
      </c>
      <c r="O31" s="59" t="s">
        <v>143</v>
      </c>
    </row>
    <row r="32" spans="1:15" s="43" customFormat="1" ht="24.6" customHeight="1" x14ac:dyDescent="0.15">
      <c r="A32" s="31">
        <v>30</v>
      </c>
      <c r="B32" s="31">
        <v>14</v>
      </c>
      <c r="C32" s="32" t="s">
        <v>122</v>
      </c>
      <c r="D32" s="33">
        <v>98.74</v>
      </c>
      <c r="E32" s="33">
        <v>681.33</v>
      </c>
      <c r="F32" s="34">
        <f>(D32-E32)/E32</f>
        <v>-0.85507756887264619</v>
      </c>
      <c r="G32" s="35">
        <v>18</v>
      </c>
      <c r="H32" s="36">
        <v>3</v>
      </c>
      <c r="I32" s="36">
        <f t="shared" si="0"/>
        <v>6</v>
      </c>
      <c r="J32" s="35">
        <v>2</v>
      </c>
      <c r="K32" s="36">
        <v>4</v>
      </c>
      <c r="L32" s="33">
        <v>18444.900000000001</v>
      </c>
      <c r="M32" s="35">
        <v>3128</v>
      </c>
      <c r="N32" s="37">
        <v>45072</v>
      </c>
      <c r="O32" s="59" t="s">
        <v>25</v>
      </c>
    </row>
    <row r="33" spans="1:15" s="43" customFormat="1" ht="24.6" customHeight="1" x14ac:dyDescent="0.15">
      <c r="A33" s="31">
        <v>31</v>
      </c>
      <c r="B33" s="31" t="s">
        <v>17</v>
      </c>
      <c r="C33" s="41" t="s">
        <v>157</v>
      </c>
      <c r="D33" s="33">
        <v>80</v>
      </c>
      <c r="E33" s="33" t="s">
        <v>17</v>
      </c>
      <c r="F33" s="34" t="s">
        <v>17</v>
      </c>
      <c r="G33" s="35">
        <v>16</v>
      </c>
      <c r="H33" s="36">
        <v>1</v>
      </c>
      <c r="I33" s="36">
        <f t="shared" si="0"/>
        <v>16</v>
      </c>
      <c r="J33" s="36">
        <v>1</v>
      </c>
      <c r="K33" s="31" t="s">
        <v>17</v>
      </c>
      <c r="L33" s="33">
        <v>929</v>
      </c>
      <c r="M33" s="35">
        <v>307</v>
      </c>
      <c r="N33" s="37">
        <v>44007</v>
      </c>
      <c r="O33" s="59" t="s">
        <v>73</v>
      </c>
    </row>
    <row r="34" spans="1:15" s="43" customFormat="1" ht="24.6" customHeight="1" x14ac:dyDescent="0.15">
      <c r="A34" s="31">
        <v>32</v>
      </c>
      <c r="B34" s="31">
        <v>24</v>
      </c>
      <c r="C34" s="41" t="s">
        <v>61</v>
      </c>
      <c r="D34" s="45">
        <v>74.2</v>
      </c>
      <c r="E34" s="45">
        <v>116.6</v>
      </c>
      <c r="F34" s="34">
        <f>(D34-E34)/E34</f>
        <v>-0.36363636363636359</v>
      </c>
      <c r="G34" s="46">
        <v>12</v>
      </c>
      <c r="H34" s="36">
        <v>2</v>
      </c>
      <c r="I34" s="36">
        <f t="shared" si="0"/>
        <v>6</v>
      </c>
      <c r="J34" s="35">
        <v>1</v>
      </c>
      <c r="K34" s="36">
        <v>8</v>
      </c>
      <c r="L34" s="45">
        <v>10754.770000000004</v>
      </c>
      <c r="M34" s="46">
        <v>1759</v>
      </c>
      <c r="N34" s="37">
        <v>45044</v>
      </c>
      <c r="O34" s="59" t="s">
        <v>33</v>
      </c>
    </row>
    <row r="35" spans="1:15" s="43" customFormat="1" ht="24.6" customHeight="1" x14ac:dyDescent="0.15">
      <c r="A35" s="31">
        <v>33</v>
      </c>
      <c r="B35" s="31" t="s">
        <v>17</v>
      </c>
      <c r="C35" s="41" t="s">
        <v>156</v>
      </c>
      <c r="D35" s="33">
        <v>65</v>
      </c>
      <c r="E35" s="33" t="s">
        <v>17</v>
      </c>
      <c r="F35" s="34" t="s">
        <v>17</v>
      </c>
      <c r="G35" s="35">
        <v>14</v>
      </c>
      <c r="H35" s="31">
        <v>1</v>
      </c>
      <c r="I35" s="36">
        <f t="shared" si="0"/>
        <v>14</v>
      </c>
      <c r="J35" s="31">
        <v>1</v>
      </c>
      <c r="K35" s="31" t="s">
        <v>17</v>
      </c>
      <c r="L35" s="33">
        <v>180</v>
      </c>
      <c r="M35" s="35">
        <v>38</v>
      </c>
      <c r="N35" s="37">
        <v>45012</v>
      </c>
      <c r="O35" s="38" t="s">
        <v>73</v>
      </c>
    </row>
    <row r="36" spans="1:15" s="43" customFormat="1" ht="24.6" customHeight="1" x14ac:dyDescent="0.15">
      <c r="A36" s="31">
        <v>34</v>
      </c>
      <c r="B36" s="31">
        <v>20</v>
      </c>
      <c r="C36" s="41" t="s">
        <v>134</v>
      </c>
      <c r="D36" s="33">
        <v>63.28</v>
      </c>
      <c r="E36" s="33">
        <v>389.42</v>
      </c>
      <c r="F36" s="34">
        <f>(D36-E36)/E36</f>
        <v>-0.83750192594114314</v>
      </c>
      <c r="G36" s="35">
        <v>12</v>
      </c>
      <c r="H36" s="36">
        <v>1</v>
      </c>
      <c r="I36" s="36">
        <f t="shared" si="0"/>
        <v>12</v>
      </c>
      <c r="J36" s="35">
        <v>1</v>
      </c>
      <c r="K36" s="34" t="s">
        <v>17</v>
      </c>
      <c r="L36" s="33">
        <v>322448.07</v>
      </c>
      <c r="M36" s="35">
        <v>68841</v>
      </c>
      <c r="N36" s="37">
        <v>44771</v>
      </c>
      <c r="O36" s="59" t="s">
        <v>21</v>
      </c>
    </row>
    <row r="37" spans="1:15" s="43" customFormat="1" ht="24.6" customHeight="1" x14ac:dyDescent="0.15">
      <c r="A37" s="31">
        <v>35</v>
      </c>
      <c r="B37" s="31" t="s">
        <v>17</v>
      </c>
      <c r="C37" s="41" t="s">
        <v>75</v>
      </c>
      <c r="D37" s="33">
        <v>57</v>
      </c>
      <c r="E37" s="33" t="s">
        <v>17</v>
      </c>
      <c r="F37" s="34" t="s">
        <v>17</v>
      </c>
      <c r="G37" s="35">
        <v>12</v>
      </c>
      <c r="H37" s="36">
        <v>2</v>
      </c>
      <c r="I37" s="36">
        <f t="shared" si="0"/>
        <v>6</v>
      </c>
      <c r="J37" s="36">
        <v>1</v>
      </c>
      <c r="K37" s="31" t="s">
        <v>17</v>
      </c>
      <c r="L37" s="33">
        <v>19093</v>
      </c>
      <c r="M37" s="35">
        <v>2162</v>
      </c>
      <c r="N37" s="37">
        <v>45012</v>
      </c>
      <c r="O37" s="59" t="s">
        <v>73</v>
      </c>
    </row>
    <row r="38" spans="1:15" s="43" customFormat="1" ht="24.6" customHeight="1" x14ac:dyDescent="0.15">
      <c r="A38" s="31">
        <v>36</v>
      </c>
      <c r="B38" s="34" t="s">
        <v>17</v>
      </c>
      <c r="C38" s="32" t="s">
        <v>47</v>
      </c>
      <c r="D38" s="33">
        <v>51.8</v>
      </c>
      <c r="E38" s="33" t="s">
        <v>17</v>
      </c>
      <c r="F38" s="34" t="s">
        <v>17</v>
      </c>
      <c r="G38" s="35">
        <v>8</v>
      </c>
      <c r="H38" s="36">
        <v>1</v>
      </c>
      <c r="I38" s="36">
        <f t="shared" si="0"/>
        <v>8</v>
      </c>
      <c r="J38" s="35">
        <v>1</v>
      </c>
      <c r="K38" s="34" t="s">
        <v>17</v>
      </c>
      <c r="L38" s="33">
        <v>278525.49</v>
      </c>
      <c r="M38" s="35">
        <v>46826</v>
      </c>
      <c r="N38" s="37">
        <v>44973</v>
      </c>
      <c r="O38" s="59" t="s">
        <v>25</v>
      </c>
    </row>
    <row r="39" spans="1:15" s="43" customFormat="1" ht="24.6" customHeight="1" x14ac:dyDescent="0.15">
      <c r="A39" s="31">
        <v>37</v>
      </c>
      <c r="B39" s="34" t="s">
        <v>17</v>
      </c>
      <c r="C39" s="32" t="s">
        <v>31</v>
      </c>
      <c r="D39" s="33">
        <v>49.7</v>
      </c>
      <c r="E39" s="33" t="s">
        <v>17</v>
      </c>
      <c r="F39" s="34" t="s">
        <v>17</v>
      </c>
      <c r="G39" s="35">
        <v>8</v>
      </c>
      <c r="H39" s="35">
        <v>1</v>
      </c>
      <c r="I39" s="36">
        <f t="shared" si="0"/>
        <v>8</v>
      </c>
      <c r="J39" s="35">
        <v>1</v>
      </c>
      <c r="K39" s="34" t="s">
        <v>17</v>
      </c>
      <c r="L39" s="33">
        <v>35685.89</v>
      </c>
      <c r="M39" s="35">
        <v>5602</v>
      </c>
      <c r="N39" s="37">
        <v>45030</v>
      </c>
      <c r="O39" s="59" t="s">
        <v>23</v>
      </c>
    </row>
    <row r="40" spans="1:15" s="43" customFormat="1" ht="24.6" customHeight="1" x14ac:dyDescent="0.15">
      <c r="A40" s="31">
        <v>38</v>
      </c>
      <c r="B40" s="31" t="s">
        <v>17</v>
      </c>
      <c r="C40" s="41" t="s">
        <v>112</v>
      </c>
      <c r="D40" s="33">
        <v>16</v>
      </c>
      <c r="E40" s="33" t="s">
        <v>17</v>
      </c>
      <c r="F40" s="34" t="s">
        <v>17</v>
      </c>
      <c r="G40" s="35">
        <v>4</v>
      </c>
      <c r="H40" s="36">
        <v>2</v>
      </c>
      <c r="I40" s="36">
        <f t="shared" si="0"/>
        <v>2</v>
      </c>
      <c r="J40" s="36">
        <v>1</v>
      </c>
      <c r="K40" s="36">
        <v>5</v>
      </c>
      <c r="L40" s="33">
        <v>1299</v>
      </c>
      <c r="M40" s="35">
        <v>313</v>
      </c>
      <c r="N40" s="37">
        <v>45065</v>
      </c>
      <c r="O40" s="59" t="s">
        <v>73</v>
      </c>
    </row>
    <row r="41" spans="1:15" s="43" customFormat="1" ht="24.6" customHeight="1" x14ac:dyDescent="0.15">
      <c r="A41" s="31">
        <v>39</v>
      </c>
      <c r="B41" s="31" t="s">
        <v>17</v>
      </c>
      <c r="C41" s="41" t="s">
        <v>78</v>
      </c>
      <c r="D41" s="33">
        <v>14.8</v>
      </c>
      <c r="E41" s="33" t="s">
        <v>17</v>
      </c>
      <c r="F41" s="34" t="s">
        <v>17</v>
      </c>
      <c r="G41" s="35">
        <v>2</v>
      </c>
      <c r="H41" s="36">
        <v>1</v>
      </c>
      <c r="I41" s="36">
        <f t="shared" si="0"/>
        <v>2</v>
      </c>
      <c r="J41" s="36">
        <v>1</v>
      </c>
      <c r="K41" s="31" t="s">
        <v>17</v>
      </c>
      <c r="L41" s="33">
        <v>9659</v>
      </c>
      <c r="M41" s="35">
        <v>1755</v>
      </c>
      <c r="N41" s="37">
        <v>45012</v>
      </c>
      <c r="O41" s="59" t="s">
        <v>73</v>
      </c>
    </row>
    <row r="42" spans="1:15" s="51" customFormat="1" ht="24" customHeight="1" x14ac:dyDescent="0.2">
      <c r="B42" s="84"/>
      <c r="C42" s="77" t="s">
        <v>158</v>
      </c>
      <c r="D42" s="52">
        <f>SUBTOTAL(109,Table13245678910[Pajamos 
(GBO)])</f>
        <v>212745.89</v>
      </c>
      <c r="E42" s="52" t="s">
        <v>149</v>
      </c>
      <c r="F42" s="81">
        <f t="shared" ref="F42" si="2">(D42-E42)/E42</f>
        <v>0.39282649400303787</v>
      </c>
      <c r="G42" s="78">
        <f>SUBTOTAL(109,Table13245678910[Žiūrovų sk. 
(ADM)])</f>
        <v>34394</v>
      </c>
      <c r="H42" s="70"/>
      <c r="I42" s="70"/>
      <c r="J42" s="70"/>
      <c r="K42" s="70"/>
      <c r="L42" s="52"/>
      <c r="M42" s="78"/>
      <c r="N42" s="53"/>
      <c r="O42" s="79" t="s">
        <v>56</v>
      </c>
    </row>
    <row r="43" spans="1:15" ht="11.25" hidden="1" x14ac:dyDescent="0.15">
      <c r="F43" s="4"/>
      <c r="L43" s="3"/>
    </row>
    <row r="44" spans="1:15" ht="11.25" hidden="1" x14ac:dyDescent="0.15">
      <c r="F44" s="4"/>
      <c r="L44" s="3"/>
    </row>
    <row r="45" spans="1:15" ht="11.25" hidden="1" x14ac:dyDescent="0.15">
      <c r="F45" s="4"/>
      <c r="L45" s="3"/>
    </row>
    <row r="46" spans="1:15" ht="11.25" hidden="1" x14ac:dyDescent="0.15">
      <c r="F46" s="4"/>
      <c r="L46" s="3"/>
    </row>
    <row r="47" spans="1:15" ht="11.25" hidden="1" x14ac:dyDescent="0.15">
      <c r="F47" s="4"/>
      <c r="L47" s="3"/>
    </row>
    <row r="48" spans="1:15" ht="11.25" hidden="1" x14ac:dyDescent="0.15">
      <c r="F48" s="4"/>
      <c r="L48" s="3"/>
    </row>
    <row r="49" spans="1:16383" ht="11.25" hidden="1" x14ac:dyDescent="0.15">
      <c r="F49" s="4"/>
      <c r="L49" s="3"/>
    </row>
    <row r="50" spans="1:16383" ht="11.25" hidden="1" x14ac:dyDescent="0.15">
      <c r="F50" s="4"/>
      <c r="L50" s="3"/>
    </row>
    <row r="51" spans="1:16383" ht="11.25" hidden="1" x14ac:dyDescent="0.15">
      <c r="F51" s="4"/>
      <c r="L51" s="3"/>
    </row>
    <row r="52" spans="1:16383" ht="11.25" hidden="1" x14ac:dyDescent="0.15">
      <c r="F52" s="4"/>
      <c r="L52" s="3"/>
    </row>
    <row r="53" spans="1:16383" ht="11.25" hidden="1" x14ac:dyDescent="0.15">
      <c r="F53" s="4"/>
      <c r="L53" s="3"/>
    </row>
    <row r="54" spans="1:16383" ht="11.25" hidden="1" x14ac:dyDescent="0.15">
      <c r="F54" s="4"/>
      <c r="L54" s="3"/>
    </row>
    <row r="55" spans="1:16383" ht="11.25" hidden="1" x14ac:dyDescent="0.15">
      <c r="F55" s="4"/>
    </row>
    <row r="56" spans="1:16383" s="44" customFormat="1" ht="11.25" hidden="1" x14ac:dyDescent="0.15">
      <c r="A56" s="1"/>
      <c r="B56" s="66"/>
      <c r="C56" s="1"/>
      <c r="D56" s="5"/>
      <c r="E56" s="5"/>
      <c r="F56" s="4"/>
      <c r="K56" s="66"/>
      <c r="L56" s="5"/>
      <c r="N56" s="12"/>
      <c r="O56" s="6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</row>
    <row r="57" spans="1:16383" s="44" customFormat="1" ht="11.25" hidden="1" x14ac:dyDescent="0.15">
      <c r="A57" s="1"/>
      <c r="B57" s="66"/>
      <c r="C57" s="1"/>
      <c r="D57" s="5"/>
      <c r="E57" s="5"/>
      <c r="F57" s="4"/>
      <c r="K57" s="66"/>
      <c r="L57" s="5"/>
      <c r="N57" s="12"/>
      <c r="O57" s="6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</row>
    <row r="58" spans="1:16383" s="44" customFormat="1" ht="11.25" hidden="1" x14ac:dyDescent="0.15">
      <c r="A58" s="1"/>
      <c r="B58" s="66"/>
      <c r="C58" s="1"/>
      <c r="D58" s="5"/>
      <c r="E58" s="5"/>
      <c r="F58" s="4"/>
      <c r="K58" s="66"/>
      <c r="L58" s="5"/>
      <c r="N58" s="12"/>
      <c r="O58" s="6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  <c r="XFB58" s="1"/>
      <c r="XFC58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7399E-55BE-4847-B224-8BC28C6115AF}">
  <sheetPr>
    <pageSetUpPr fitToPage="1"/>
  </sheetPr>
  <dimension ref="A1:XFC50"/>
  <sheetViews>
    <sheetView topLeftCell="B2" zoomScale="60" zoomScaleNormal="60" workbookViewId="0">
      <selection activeCell="O25" sqref="O25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140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6" t="s">
        <v>15</v>
      </c>
      <c r="C3" s="41" t="s">
        <v>144</v>
      </c>
      <c r="D3" s="33">
        <v>42712.09</v>
      </c>
      <c r="E3" s="33" t="s">
        <v>17</v>
      </c>
      <c r="F3" s="34" t="s">
        <v>17</v>
      </c>
      <c r="G3" s="35">
        <v>5728</v>
      </c>
      <c r="H3" s="36">
        <v>178</v>
      </c>
      <c r="I3" s="36">
        <f t="shared" ref="I3:I20" si="0">G3/H3</f>
        <v>32.179775280898873</v>
      </c>
      <c r="J3" s="35">
        <v>24</v>
      </c>
      <c r="K3" s="36">
        <v>1</v>
      </c>
      <c r="L3" s="33">
        <v>47645.98</v>
      </c>
      <c r="M3" s="35">
        <v>6401</v>
      </c>
      <c r="N3" s="37">
        <v>45086</v>
      </c>
      <c r="O3" s="67" t="s">
        <v>70</v>
      </c>
    </row>
    <row r="4" spans="1:18" s="39" customFormat="1" ht="24.6" customHeight="1" x14ac:dyDescent="0.2">
      <c r="A4" s="31">
        <v>2</v>
      </c>
      <c r="B4" s="36">
        <v>1</v>
      </c>
      <c r="C4" s="41" t="s">
        <v>133</v>
      </c>
      <c r="D4" s="33">
        <v>42361.25</v>
      </c>
      <c r="E4" s="33">
        <v>60095.64</v>
      </c>
      <c r="F4" s="34">
        <f>(D4-E4)/E4</f>
        <v>-0.29510277284674896</v>
      </c>
      <c r="G4" s="35">
        <v>6596</v>
      </c>
      <c r="H4" s="36">
        <v>130</v>
      </c>
      <c r="I4" s="36">
        <f t="shared" si="0"/>
        <v>50.738461538461536</v>
      </c>
      <c r="J4" s="35">
        <v>17</v>
      </c>
      <c r="K4" s="36">
        <v>2</v>
      </c>
      <c r="L4" s="33">
        <v>144016.73000000001</v>
      </c>
      <c r="M4" s="35">
        <v>23295</v>
      </c>
      <c r="N4" s="37">
        <v>45079</v>
      </c>
      <c r="O4" s="67" t="s">
        <v>23</v>
      </c>
    </row>
    <row r="5" spans="1:18" s="39" customFormat="1" ht="24.95" customHeight="1" x14ac:dyDescent="0.2">
      <c r="A5" s="31">
        <v>3</v>
      </c>
      <c r="B5" s="36">
        <v>2</v>
      </c>
      <c r="C5" s="41" t="s">
        <v>114</v>
      </c>
      <c r="D5" s="33">
        <v>12404.61</v>
      </c>
      <c r="E5" s="33">
        <v>35305.97</v>
      </c>
      <c r="F5" s="34">
        <f>(D5-E5)/E5</f>
        <v>-0.64865403782986275</v>
      </c>
      <c r="G5" s="35">
        <v>1767</v>
      </c>
      <c r="H5" s="36">
        <v>65</v>
      </c>
      <c r="I5" s="36">
        <f t="shared" si="0"/>
        <v>27.184615384615384</v>
      </c>
      <c r="J5" s="35">
        <v>11</v>
      </c>
      <c r="K5" s="36">
        <v>4</v>
      </c>
      <c r="L5" s="33">
        <v>299632.89</v>
      </c>
      <c r="M5" s="35">
        <v>40629</v>
      </c>
      <c r="N5" s="37">
        <v>45065</v>
      </c>
      <c r="O5" s="59" t="s">
        <v>71</v>
      </c>
      <c r="R5" s="31"/>
    </row>
    <row r="6" spans="1:18" s="39" customFormat="1" ht="24.95" customHeight="1" x14ac:dyDescent="0.2">
      <c r="A6" s="31">
        <v>4</v>
      </c>
      <c r="B6" s="36" t="s">
        <v>15</v>
      </c>
      <c r="C6" s="41" t="s">
        <v>145</v>
      </c>
      <c r="D6" s="33">
        <v>11762.63</v>
      </c>
      <c r="E6" s="33" t="s">
        <v>17</v>
      </c>
      <c r="F6" s="34" t="s">
        <v>17</v>
      </c>
      <c r="G6" s="35">
        <v>1820</v>
      </c>
      <c r="H6" s="36">
        <v>90</v>
      </c>
      <c r="I6" s="36">
        <f t="shared" si="0"/>
        <v>20.222222222222221</v>
      </c>
      <c r="J6" s="35">
        <v>18</v>
      </c>
      <c r="K6" s="36">
        <v>1</v>
      </c>
      <c r="L6" s="33">
        <v>12588.3</v>
      </c>
      <c r="M6" s="35">
        <v>1954</v>
      </c>
      <c r="N6" s="37">
        <v>45086</v>
      </c>
      <c r="O6" s="67" t="s">
        <v>71</v>
      </c>
      <c r="R6" s="31"/>
    </row>
    <row r="7" spans="1:18" s="39" customFormat="1" ht="24.95" customHeight="1" x14ac:dyDescent="0.2">
      <c r="A7" s="31">
        <v>5</v>
      </c>
      <c r="B7" s="36">
        <v>5</v>
      </c>
      <c r="C7" s="32" t="s">
        <v>19</v>
      </c>
      <c r="D7" s="33">
        <v>9206.9699999999993</v>
      </c>
      <c r="E7" s="33">
        <v>12732.56</v>
      </c>
      <c r="F7" s="34">
        <f>(D7-E7)/E7</f>
        <v>-0.27689561250840367</v>
      </c>
      <c r="G7" s="35">
        <v>1763</v>
      </c>
      <c r="H7" s="36">
        <v>60</v>
      </c>
      <c r="I7" s="36">
        <f t="shared" si="0"/>
        <v>29.383333333333333</v>
      </c>
      <c r="J7" s="35">
        <v>12</v>
      </c>
      <c r="K7" s="36">
        <v>10</v>
      </c>
      <c r="L7" s="33">
        <v>553101.32999999996</v>
      </c>
      <c r="M7" s="35">
        <v>100964</v>
      </c>
      <c r="N7" s="37">
        <v>45023</v>
      </c>
      <c r="O7" s="59" t="s">
        <v>71</v>
      </c>
      <c r="R7" s="31"/>
    </row>
    <row r="8" spans="1:18" s="39" customFormat="1" ht="24.95" customHeight="1" x14ac:dyDescent="0.2">
      <c r="A8" s="31">
        <v>6</v>
      </c>
      <c r="B8" s="36">
        <v>3</v>
      </c>
      <c r="C8" s="32" t="s">
        <v>126</v>
      </c>
      <c r="D8" s="33">
        <v>8707.2199999999993</v>
      </c>
      <c r="E8" s="33">
        <v>15261.46</v>
      </c>
      <c r="F8" s="34">
        <f>(D8-E8)/E8</f>
        <v>-0.42946349824983981</v>
      </c>
      <c r="G8" s="35">
        <v>1516</v>
      </c>
      <c r="H8" s="36">
        <v>56</v>
      </c>
      <c r="I8" s="36">
        <f t="shared" si="0"/>
        <v>27.071428571428573</v>
      </c>
      <c r="J8" s="35">
        <v>11</v>
      </c>
      <c r="K8" s="36">
        <v>3</v>
      </c>
      <c r="L8" s="33">
        <v>55689.86</v>
      </c>
      <c r="M8" s="35">
        <v>10433</v>
      </c>
      <c r="N8" s="37">
        <v>45072</v>
      </c>
      <c r="O8" s="59" t="s">
        <v>49</v>
      </c>
      <c r="R8" s="31"/>
    </row>
    <row r="9" spans="1:18" s="39" customFormat="1" ht="24.95" customHeight="1" x14ac:dyDescent="0.2">
      <c r="A9" s="31">
        <v>7</v>
      </c>
      <c r="B9" s="36">
        <v>4</v>
      </c>
      <c r="C9" s="41" t="s">
        <v>136</v>
      </c>
      <c r="D9" s="33">
        <v>7320.68</v>
      </c>
      <c r="E9" s="33">
        <v>14318.93</v>
      </c>
      <c r="F9" s="34">
        <f>(D9-E9)/E9</f>
        <v>-0.48874112800327957</v>
      </c>
      <c r="G9" s="35">
        <v>1043</v>
      </c>
      <c r="H9" s="36">
        <v>34</v>
      </c>
      <c r="I9" s="36">
        <f t="shared" si="0"/>
        <v>30.676470588235293</v>
      </c>
      <c r="J9" s="35">
        <v>11</v>
      </c>
      <c r="K9" s="36">
        <v>2</v>
      </c>
      <c r="L9" s="33">
        <v>30012.55</v>
      </c>
      <c r="M9" s="35">
        <v>4666</v>
      </c>
      <c r="N9" s="37">
        <v>45079</v>
      </c>
      <c r="O9" s="59" t="s">
        <v>49</v>
      </c>
      <c r="R9" s="31"/>
    </row>
    <row r="10" spans="1:18" s="39" customFormat="1" ht="24.95" customHeight="1" x14ac:dyDescent="0.2">
      <c r="A10" s="31">
        <v>8</v>
      </c>
      <c r="B10" s="36">
        <v>6</v>
      </c>
      <c r="C10" s="41" t="s">
        <v>85</v>
      </c>
      <c r="D10" s="33">
        <v>5970.46</v>
      </c>
      <c r="E10" s="33">
        <v>12288.74</v>
      </c>
      <c r="F10" s="34">
        <f>(D10-E10)/E10</f>
        <v>-0.51415197977986349</v>
      </c>
      <c r="G10" s="35">
        <v>860</v>
      </c>
      <c r="H10" s="36">
        <v>39</v>
      </c>
      <c r="I10" s="36">
        <f t="shared" si="0"/>
        <v>22.051282051282051</v>
      </c>
      <c r="J10" s="35">
        <v>8</v>
      </c>
      <c r="K10" s="36">
        <v>6</v>
      </c>
      <c r="L10" s="33">
        <v>259188</v>
      </c>
      <c r="M10" s="35">
        <v>36170</v>
      </c>
      <c r="N10" s="37">
        <v>45051</v>
      </c>
      <c r="O10" s="59" t="s">
        <v>49</v>
      </c>
      <c r="R10" s="31"/>
    </row>
    <row r="11" spans="1:18" s="39" customFormat="1" ht="24.95" customHeight="1" x14ac:dyDescent="0.2">
      <c r="A11" s="31">
        <v>9</v>
      </c>
      <c r="B11" s="36">
        <v>7</v>
      </c>
      <c r="C11" s="32" t="s">
        <v>16</v>
      </c>
      <c r="D11" s="33">
        <v>2011.48</v>
      </c>
      <c r="E11" s="33">
        <v>4891.33</v>
      </c>
      <c r="F11" s="34">
        <f>(D11-E11)/E11</f>
        <v>-0.58876624558146762</v>
      </c>
      <c r="G11" s="35">
        <v>402</v>
      </c>
      <c r="H11" s="36">
        <v>29</v>
      </c>
      <c r="I11" s="36">
        <f t="shared" si="0"/>
        <v>13.862068965517242</v>
      </c>
      <c r="J11" s="35">
        <v>6</v>
      </c>
      <c r="K11" s="36">
        <v>8</v>
      </c>
      <c r="L11" s="33">
        <v>241393.39</v>
      </c>
      <c r="M11" s="35">
        <v>47958</v>
      </c>
      <c r="N11" s="37">
        <v>45037</v>
      </c>
      <c r="O11" s="59" t="s">
        <v>18</v>
      </c>
      <c r="R11" s="31"/>
    </row>
    <row r="12" spans="1:18" s="39" customFormat="1" ht="24.6" customHeight="1" x14ac:dyDescent="0.2">
      <c r="A12" s="31">
        <v>10</v>
      </c>
      <c r="B12" s="36" t="s">
        <v>15</v>
      </c>
      <c r="C12" s="41" t="s">
        <v>142</v>
      </c>
      <c r="D12" s="33">
        <v>1737.01</v>
      </c>
      <c r="E12" s="33" t="s">
        <v>17</v>
      </c>
      <c r="F12" s="34" t="s">
        <v>17</v>
      </c>
      <c r="G12" s="35">
        <v>253</v>
      </c>
      <c r="H12" s="36">
        <v>49</v>
      </c>
      <c r="I12" s="36">
        <f t="shared" si="0"/>
        <v>5.1632653061224492</v>
      </c>
      <c r="J12" s="35">
        <v>11</v>
      </c>
      <c r="K12" s="36">
        <v>1</v>
      </c>
      <c r="L12" s="33">
        <v>1884.81</v>
      </c>
      <c r="M12" s="35">
        <v>275</v>
      </c>
      <c r="N12" s="37">
        <v>45086</v>
      </c>
      <c r="O12" s="67" t="s">
        <v>143</v>
      </c>
      <c r="R12" s="31"/>
    </row>
    <row r="13" spans="1:18" s="39" customFormat="1" ht="24.95" customHeight="1" x14ac:dyDescent="0.2">
      <c r="A13" s="31">
        <v>11</v>
      </c>
      <c r="B13" s="36">
        <v>12</v>
      </c>
      <c r="C13" s="41" t="s">
        <v>62</v>
      </c>
      <c r="D13" s="45">
        <v>1526.95</v>
      </c>
      <c r="E13" s="45">
        <v>2371.36</v>
      </c>
      <c r="F13" s="34">
        <f>(D13-E13)/E13</f>
        <v>-0.35608680250995212</v>
      </c>
      <c r="G13" s="46">
        <v>283</v>
      </c>
      <c r="H13" s="36">
        <v>13</v>
      </c>
      <c r="I13" s="36">
        <f t="shared" si="0"/>
        <v>21.76923076923077</v>
      </c>
      <c r="J13" s="35">
        <v>3</v>
      </c>
      <c r="K13" s="36">
        <v>7</v>
      </c>
      <c r="L13" s="45">
        <v>40585.539999999994</v>
      </c>
      <c r="M13" s="46">
        <v>8094</v>
      </c>
      <c r="N13" s="37">
        <v>45044</v>
      </c>
      <c r="O13" s="59" t="s">
        <v>33</v>
      </c>
      <c r="R13" s="31"/>
    </row>
    <row r="14" spans="1:18" s="39" customFormat="1" ht="24.95" customHeight="1" x14ac:dyDescent="0.2">
      <c r="A14" s="31">
        <v>12</v>
      </c>
      <c r="B14" s="36">
        <v>11</v>
      </c>
      <c r="C14" s="41" t="s">
        <v>106</v>
      </c>
      <c r="D14" s="33">
        <v>1450.16</v>
      </c>
      <c r="E14" s="33">
        <v>2536.81</v>
      </c>
      <c r="F14" s="34">
        <f>(D14-E14)/E14</f>
        <v>-0.42835293143751402</v>
      </c>
      <c r="G14" s="35">
        <v>299</v>
      </c>
      <c r="H14" s="36">
        <v>14</v>
      </c>
      <c r="I14" s="36">
        <f t="shared" si="0"/>
        <v>21.357142857142858</v>
      </c>
      <c r="J14" s="35">
        <v>5</v>
      </c>
      <c r="K14" s="36">
        <v>5</v>
      </c>
      <c r="L14" s="33">
        <v>29693.89</v>
      </c>
      <c r="M14" s="35">
        <v>6348</v>
      </c>
      <c r="N14" s="37">
        <v>45058</v>
      </c>
      <c r="O14" s="67" t="s">
        <v>25</v>
      </c>
      <c r="R14" s="31"/>
    </row>
    <row r="15" spans="1:18" s="39" customFormat="1" ht="24.6" customHeight="1" x14ac:dyDescent="0.2">
      <c r="A15" s="31">
        <v>13</v>
      </c>
      <c r="B15" s="36">
        <v>14</v>
      </c>
      <c r="C15" s="41" t="s">
        <v>118</v>
      </c>
      <c r="D15" s="33">
        <v>928.45</v>
      </c>
      <c r="E15" s="33">
        <v>952.95</v>
      </c>
      <c r="F15" s="34">
        <f>(D15-E15)/E15</f>
        <v>-2.5709638491001625E-2</v>
      </c>
      <c r="G15" s="35">
        <v>192</v>
      </c>
      <c r="H15" s="36">
        <v>10</v>
      </c>
      <c r="I15" s="36">
        <f t="shared" si="0"/>
        <v>19.2</v>
      </c>
      <c r="J15" s="35">
        <v>6</v>
      </c>
      <c r="K15" s="36">
        <v>3</v>
      </c>
      <c r="L15" s="33">
        <v>5324.72</v>
      </c>
      <c r="M15" s="35">
        <v>1258</v>
      </c>
      <c r="N15" s="37">
        <v>45072</v>
      </c>
      <c r="O15" s="67" t="s">
        <v>30</v>
      </c>
      <c r="R15" s="31"/>
    </row>
    <row r="16" spans="1:18" s="39" customFormat="1" ht="24.95" customHeight="1" x14ac:dyDescent="0.2">
      <c r="A16" s="31">
        <v>14</v>
      </c>
      <c r="B16" s="36">
        <v>8</v>
      </c>
      <c r="C16" s="32" t="s">
        <v>122</v>
      </c>
      <c r="D16" s="33">
        <v>681.33</v>
      </c>
      <c r="E16" s="33">
        <v>3853.94</v>
      </c>
      <c r="F16" s="34">
        <f>(D16-E16)/E16</f>
        <v>-0.82321208944612534</v>
      </c>
      <c r="G16" s="35">
        <v>100</v>
      </c>
      <c r="H16" s="36">
        <v>6</v>
      </c>
      <c r="I16" s="36">
        <f t="shared" si="0"/>
        <v>16.666666666666668</v>
      </c>
      <c r="J16" s="35">
        <v>3</v>
      </c>
      <c r="K16" s="36">
        <v>3</v>
      </c>
      <c r="L16" s="33">
        <v>17936.97</v>
      </c>
      <c r="M16" s="35">
        <v>3033</v>
      </c>
      <c r="N16" s="37">
        <v>45072</v>
      </c>
      <c r="O16" s="59" t="s">
        <v>25</v>
      </c>
      <c r="R16" s="31"/>
    </row>
    <row r="17" spans="1:15" s="43" customFormat="1" ht="24.6" customHeight="1" x14ac:dyDescent="0.15">
      <c r="A17" s="31">
        <v>15</v>
      </c>
      <c r="B17" s="36" t="s">
        <v>17</v>
      </c>
      <c r="C17" s="41" t="s">
        <v>146</v>
      </c>
      <c r="D17" s="33">
        <v>529.21</v>
      </c>
      <c r="E17" s="33" t="s">
        <v>17</v>
      </c>
      <c r="F17" s="34" t="s">
        <v>17</v>
      </c>
      <c r="G17" s="35">
        <v>112</v>
      </c>
      <c r="H17" s="36">
        <v>3</v>
      </c>
      <c r="I17" s="36">
        <f t="shared" si="0"/>
        <v>37.333333333333336</v>
      </c>
      <c r="J17" s="35">
        <v>1</v>
      </c>
      <c r="K17" s="34" t="s">
        <v>17</v>
      </c>
      <c r="L17" s="33">
        <v>184290.92</v>
      </c>
      <c r="M17" s="35">
        <v>36628</v>
      </c>
      <c r="N17" s="37">
        <v>44568</v>
      </c>
      <c r="O17" s="67" t="s">
        <v>70</v>
      </c>
    </row>
    <row r="18" spans="1:15" s="43" customFormat="1" ht="24.95" customHeight="1" x14ac:dyDescent="0.15">
      <c r="A18" s="31">
        <v>16</v>
      </c>
      <c r="B18" s="36">
        <v>10</v>
      </c>
      <c r="C18" s="41" t="s">
        <v>130</v>
      </c>
      <c r="D18" s="33">
        <v>482.54</v>
      </c>
      <c r="E18" s="33">
        <v>3506.39</v>
      </c>
      <c r="F18" s="34">
        <f>(D18-E18)/E18</f>
        <v>-0.86238267848128702</v>
      </c>
      <c r="G18" s="35">
        <v>72</v>
      </c>
      <c r="H18" s="36">
        <v>14</v>
      </c>
      <c r="I18" s="36">
        <f t="shared" si="0"/>
        <v>5.1428571428571432</v>
      </c>
      <c r="J18" s="35">
        <v>6</v>
      </c>
      <c r="K18" s="36">
        <v>2</v>
      </c>
      <c r="L18" s="33">
        <v>6251.86</v>
      </c>
      <c r="M18" s="35">
        <v>966</v>
      </c>
      <c r="N18" s="37">
        <v>45078</v>
      </c>
      <c r="O18" s="67" t="s">
        <v>33</v>
      </c>
    </row>
    <row r="19" spans="1:15" s="43" customFormat="1" ht="24.95" customHeight="1" x14ac:dyDescent="0.15">
      <c r="A19" s="31">
        <v>17</v>
      </c>
      <c r="B19" s="36" t="s">
        <v>17</v>
      </c>
      <c r="C19" s="41" t="s">
        <v>120</v>
      </c>
      <c r="D19" s="33">
        <v>468.5</v>
      </c>
      <c r="E19" s="33" t="s">
        <v>17</v>
      </c>
      <c r="F19" s="34" t="s">
        <v>17</v>
      </c>
      <c r="G19" s="35">
        <v>70</v>
      </c>
      <c r="H19" s="36">
        <v>1</v>
      </c>
      <c r="I19" s="36">
        <f t="shared" si="0"/>
        <v>70</v>
      </c>
      <c r="J19" s="35">
        <v>1</v>
      </c>
      <c r="K19" s="34" t="s">
        <v>17</v>
      </c>
      <c r="L19" s="33">
        <v>21971.59</v>
      </c>
      <c r="M19" s="35">
        <v>3510</v>
      </c>
      <c r="N19" s="37">
        <v>44939</v>
      </c>
      <c r="O19" s="67" t="s">
        <v>30</v>
      </c>
    </row>
    <row r="20" spans="1:15" s="43" customFormat="1" ht="24.6" customHeight="1" x14ac:dyDescent="0.15">
      <c r="A20" s="31">
        <v>18</v>
      </c>
      <c r="B20" s="36">
        <v>16</v>
      </c>
      <c r="C20" s="41" t="s">
        <v>115</v>
      </c>
      <c r="D20" s="33">
        <v>455</v>
      </c>
      <c r="E20" s="33">
        <v>868.1</v>
      </c>
      <c r="F20" s="34">
        <f>(D20-E20)/E20</f>
        <v>-0.47586683561801635</v>
      </c>
      <c r="G20" s="35">
        <v>73</v>
      </c>
      <c r="H20" s="36">
        <v>6</v>
      </c>
      <c r="I20" s="36">
        <f t="shared" si="0"/>
        <v>12.166666666666666</v>
      </c>
      <c r="J20" s="35">
        <v>3</v>
      </c>
      <c r="K20" s="36">
        <v>4</v>
      </c>
      <c r="L20" s="33">
        <v>6131.35</v>
      </c>
      <c r="M20" s="35">
        <v>1087</v>
      </c>
      <c r="N20" s="37">
        <v>45065</v>
      </c>
      <c r="O20" s="59" t="s">
        <v>49</v>
      </c>
    </row>
    <row r="21" spans="1:15" s="43" customFormat="1" ht="24.6" customHeight="1" x14ac:dyDescent="0.15">
      <c r="A21" s="31">
        <v>19</v>
      </c>
      <c r="B21" s="36">
        <v>13</v>
      </c>
      <c r="C21" s="32" t="s">
        <v>125</v>
      </c>
      <c r="D21" s="33">
        <v>453.81</v>
      </c>
      <c r="E21" s="33">
        <v>2000.76</v>
      </c>
      <c r="F21" s="34">
        <f>(D21-E21)/E21</f>
        <v>-0.77318119114736406</v>
      </c>
      <c r="G21" s="35">
        <v>64</v>
      </c>
      <c r="H21" s="36" t="s">
        <v>17</v>
      </c>
      <c r="I21" s="36" t="s">
        <v>17</v>
      </c>
      <c r="J21" s="35">
        <v>2</v>
      </c>
      <c r="K21" s="36">
        <v>3</v>
      </c>
      <c r="L21" s="33">
        <v>9044.58</v>
      </c>
      <c r="M21" s="35">
        <v>1459</v>
      </c>
      <c r="N21" s="37">
        <v>45072</v>
      </c>
      <c r="O21" s="59" t="s">
        <v>67</v>
      </c>
    </row>
    <row r="22" spans="1:15" s="43" customFormat="1" ht="24.6" customHeight="1" x14ac:dyDescent="0.15">
      <c r="A22" s="31">
        <v>20</v>
      </c>
      <c r="B22" s="36">
        <v>18</v>
      </c>
      <c r="C22" s="41" t="s">
        <v>134</v>
      </c>
      <c r="D22" s="33">
        <v>389.42</v>
      </c>
      <c r="E22" s="33">
        <v>496.27</v>
      </c>
      <c r="F22" s="34">
        <f>(D22-E22)/E22</f>
        <v>-0.21530618413363686</v>
      </c>
      <c r="G22" s="35">
        <v>104</v>
      </c>
      <c r="H22" s="36">
        <v>3</v>
      </c>
      <c r="I22" s="36">
        <f>G22/H22</f>
        <v>34.666666666666664</v>
      </c>
      <c r="J22" s="35">
        <v>1</v>
      </c>
      <c r="K22" s="34" t="s">
        <v>17</v>
      </c>
      <c r="L22" s="33">
        <v>322047.23</v>
      </c>
      <c r="M22" s="35">
        <v>68754</v>
      </c>
      <c r="N22" s="37">
        <v>44771</v>
      </c>
      <c r="O22" s="67" t="s">
        <v>21</v>
      </c>
    </row>
    <row r="23" spans="1:15" s="43" customFormat="1" ht="24.6" customHeight="1" x14ac:dyDescent="0.15">
      <c r="A23" s="31">
        <v>21</v>
      </c>
      <c r="B23" s="36" t="s">
        <v>17</v>
      </c>
      <c r="C23" s="41" t="s">
        <v>44</v>
      </c>
      <c r="D23" s="33">
        <v>293.7</v>
      </c>
      <c r="E23" s="33" t="s">
        <v>17</v>
      </c>
      <c r="F23" s="34" t="s">
        <v>17</v>
      </c>
      <c r="G23" s="35">
        <v>65</v>
      </c>
      <c r="H23" s="36">
        <v>5</v>
      </c>
      <c r="I23" s="36">
        <f>G23/H23</f>
        <v>13</v>
      </c>
      <c r="J23" s="35">
        <v>1</v>
      </c>
      <c r="K23" s="34" t="s">
        <v>17</v>
      </c>
      <c r="L23" s="33">
        <v>325263.63</v>
      </c>
      <c r="M23" s="35">
        <v>64488</v>
      </c>
      <c r="N23" s="37">
        <v>44960</v>
      </c>
      <c r="O23" s="67" t="s">
        <v>21</v>
      </c>
    </row>
    <row r="24" spans="1:15" s="43" customFormat="1" ht="24.6" customHeight="1" x14ac:dyDescent="0.15">
      <c r="A24" s="31">
        <v>22</v>
      </c>
      <c r="B24" s="36">
        <v>17</v>
      </c>
      <c r="C24" s="32" t="s">
        <v>42</v>
      </c>
      <c r="D24" s="33">
        <v>224.5</v>
      </c>
      <c r="E24" s="33">
        <v>577.79999999999995</v>
      </c>
      <c r="F24" s="34">
        <f t="shared" ref="F24:F34" si="1">(D24-E24)/E24</f>
        <v>-0.61145725164416753</v>
      </c>
      <c r="G24" s="35">
        <v>32</v>
      </c>
      <c r="H24" s="36">
        <v>4</v>
      </c>
      <c r="I24" s="36">
        <f>G24/H24</f>
        <v>8</v>
      </c>
      <c r="J24" s="35">
        <v>1</v>
      </c>
      <c r="K24" s="36">
        <v>15</v>
      </c>
      <c r="L24" s="33">
        <v>234845.63000000003</v>
      </c>
      <c r="M24" s="35">
        <v>36782</v>
      </c>
      <c r="N24" s="37">
        <v>44988</v>
      </c>
      <c r="O24" s="59" t="s">
        <v>43</v>
      </c>
    </row>
    <row r="25" spans="1:15" s="43" customFormat="1" ht="24.6" customHeight="1" x14ac:dyDescent="0.15">
      <c r="A25" s="31">
        <v>23</v>
      </c>
      <c r="B25" s="36">
        <v>24</v>
      </c>
      <c r="C25" s="41" t="s">
        <v>127</v>
      </c>
      <c r="D25" s="33">
        <v>163</v>
      </c>
      <c r="E25" s="33">
        <v>263.79999999999995</v>
      </c>
      <c r="F25" s="34">
        <f t="shared" si="1"/>
        <v>-0.38210765731614849</v>
      </c>
      <c r="G25" s="35">
        <v>34</v>
      </c>
      <c r="H25" s="36">
        <v>6</v>
      </c>
      <c r="I25" s="36">
        <f>G25/H25</f>
        <v>5.666666666666667</v>
      </c>
      <c r="J25" s="35">
        <v>5</v>
      </c>
      <c r="K25" s="36">
        <v>3</v>
      </c>
      <c r="L25" s="33">
        <v>2003.26</v>
      </c>
      <c r="M25" s="35">
        <v>477</v>
      </c>
      <c r="N25" s="37">
        <v>45072</v>
      </c>
      <c r="O25" s="59" t="s">
        <v>89</v>
      </c>
    </row>
    <row r="26" spans="1:15" s="43" customFormat="1" ht="24.6" customHeight="1" x14ac:dyDescent="0.15">
      <c r="A26" s="31">
        <v>24</v>
      </c>
      <c r="B26" s="36">
        <v>28</v>
      </c>
      <c r="C26" s="41" t="s">
        <v>61</v>
      </c>
      <c r="D26" s="45">
        <v>116.6</v>
      </c>
      <c r="E26" s="45">
        <v>155</v>
      </c>
      <c r="F26" s="34">
        <f t="shared" si="1"/>
        <v>-0.247741935483871</v>
      </c>
      <c r="G26" s="46">
        <v>16</v>
      </c>
      <c r="H26" s="36">
        <v>2</v>
      </c>
      <c r="I26" s="36">
        <f>G26/H26</f>
        <v>8</v>
      </c>
      <c r="J26" s="35">
        <v>2</v>
      </c>
      <c r="K26" s="36">
        <v>7</v>
      </c>
      <c r="L26" s="45">
        <v>10652.870000000003</v>
      </c>
      <c r="M26" s="46">
        <v>1742</v>
      </c>
      <c r="N26" s="37">
        <v>45044</v>
      </c>
      <c r="O26" s="59" t="s">
        <v>33</v>
      </c>
    </row>
    <row r="27" spans="1:15" s="43" customFormat="1" ht="24.6" customHeight="1" x14ac:dyDescent="0.15">
      <c r="A27" s="31">
        <v>25</v>
      </c>
      <c r="B27" s="36">
        <v>22</v>
      </c>
      <c r="C27" s="41" t="s">
        <v>104</v>
      </c>
      <c r="D27" s="33">
        <v>114</v>
      </c>
      <c r="E27" s="33">
        <v>282</v>
      </c>
      <c r="F27" s="34">
        <f t="shared" si="1"/>
        <v>-0.5957446808510638</v>
      </c>
      <c r="G27" s="35">
        <v>16</v>
      </c>
      <c r="H27" s="36" t="s">
        <v>17</v>
      </c>
      <c r="I27" s="36" t="s">
        <v>17</v>
      </c>
      <c r="J27" s="35">
        <v>1</v>
      </c>
      <c r="K27" s="36">
        <v>5</v>
      </c>
      <c r="L27" s="33">
        <v>9174</v>
      </c>
      <c r="M27" s="35">
        <v>1523</v>
      </c>
      <c r="N27" s="37">
        <v>45058</v>
      </c>
      <c r="O27" s="67" t="s">
        <v>28</v>
      </c>
    </row>
    <row r="28" spans="1:15" s="43" customFormat="1" ht="24.6" customHeight="1" x14ac:dyDescent="0.15">
      <c r="A28" s="31">
        <v>26</v>
      </c>
      <c r="B28" s="36">
        <v>27</v>
      </c>
      <c r="C28" s="41" t="s">
        <v>86</v>
      </c>
      <c r="D28" s="33">
        <v>98.55</v>
      </c>
      <c r="E28" s="33">
        <v>201.2</v>
      </c>
      <c r="F28" s="34">
        <f t="shared" si="1"/>
        <v>-0.51018886679920472</v>
      </c>
      <c r="G28" s="35">
        <v>17</v>
      </c>
      <c r="H28" s="36">
        <v>2</v>
      </c>
      <c r="I28" s="36">
        <f>G28/H28</f>
        <v>8.5</v>
      </c>
      <c r="J28" s="35">
        <v>2</v>
      </c>
      <c r="K28" s="36">
        <v>7</v>
      </c>
      <c r="L28" s="33">
        <v>15836.42</v>
      </c>
      <c r="M28" s="35">
        <v>2510</v>
      </c>
      <c r="N28" s="37">
        <v>45047</v>
      </c>
      <c r="O28" s="67" t="s">
        <v>71</v>
      </c>
    </row>
    <row r="29" spans="1:15" s="43" customFormat="1" ht="24.6" customHeight="1" x14ac:dyDescent="0.15">
      <c r="A29" s="31">
        <v>27</v>
      </c>
      <c r="B29" s="36">
        <v>20</v>
      </c>
      <c r="C29" s="32" t="s">
        <v>90</v>
      </c>
      <c r="D29" s="33">
        <v>60.9</v>
      </c>
      <c r="E29" s="33">
        <v>389.3</v>
      </c>
      <c r="F29" s="34">
        <f t="shared" si="1"/>
        <v>-0.84356537374775242</v>
      </c>
      <c r="G29" s="35">
        <v>11</v>
      </c>
      <c r="H29" s="36">
        <v>1</v>
      </c>
      <c r="I29" s="36">
        <f>G29/H29</f>
        <v>11</v>
      </c>
      <c r="J29" s="35">
        <v>1</v>
      </c>
      <c r="K29" s="34" t="s">
        <v>17</v>
      </c>
      <c r="L29" s="33">
        <v>40598.98000000001</v>
      </c>
      <c r="M29" s="35">
        <v>6888</v>
      </c>
      <c r="N29" s="37">
        <v>44678</v>
      </c>
      <c r="O29" s="59" t="s">
        <v>33</v>
      </c>
    </row>
    <row r="30" spans="1:15" s="43" customFormat="1" ht="24.6" customHeight="1" x14ac:dyDescent="0.15">
      <c r="A30" s="31">
        <v>28</v>
      </c>
      <c r="B30" s="36">
        <v>9</v>
      </c>
      <c r="C30" s="41" t="s">
        <v>137</v>
      </c>
      <c r="D30" s="33">
        <v>50</v>
      </c>
      <c r="E30" s="33">
        <v>3602.32</v>
      </c>
      <c r="F30" s="34">
        <f t="shared" si="1"/>
        <v>-0.98612005596393437</v>
      </c>
      <c r="G30" s="35">
        <v>10</v>
      </c>
      <c r="H30" s="36">
        <v>4</v>
      </c>
      <c r="I30" s="36">
        <f>G30/H30</f>
        <v>2.5</v>
      </c>
      <c r="J30" s="35">
        <v>2</v>
      </c>
      <c r="K30" s="36">
        <v>2</v>
      </c>
      <c r="L30" s="33">
        <v>5217.6099999999997</v>
      </c>
      <c r="M30" s="35">
        <v>789</v>
      </c>
      <c r="N30" s="37">
        <v>45079</v>
      </c>
      <c r="O30" s="67" t="s">
        <v>39</v>
      </c>
    </row>
    <row r="31" spans="1:15" s="43" customFormat="1" ht="24.6" customHeight="1" x14ac:dyDescent="0.15">
      <c r="A31" s="31">
        <v>29</v>
      </c>
      <c r="B31" s="36">
        <v>35</v>
      </c>
      <c r="C31" s="41" t="s">
        <v>68</v>
      </c>
      <c r="D31" s="33">
        <v>37</v>
      </c>
      <c r="E31" s="33">
        <v>44.5</v>
      </c>
      <c r="F31" s="34">
        <f t="shared" si="1"/>
        <v>-0.16853932584269662</v>
      </c>
      <c r="G31" s="35">
        <v>5</v>
      </c>
      <c r="H31" s="36">
        <v>1</v>
      </c>
      <c r="I31" s="36">
        <f>G31/H31</f>
        <v>5</v>
      </c>
      <c r="J31" s="35">
        <v>1</v>
      </c>
      <c r="K31" s="36">
        <v>8</v>
      </c>
      <c r="L31" s="33">
        <v>2910.0000000000005</v>
      </c>
      <c r="M31" s="35">
        <v>528</v>
      </c>
      <c r="N31" s="37">
        <v>45043</v>
      </c>
      <c r="O31" s="67" t="s">
        <v>69</v>
      </c>
    </row>
    <row r="32" spans="1:15" s="43" customFormat="1" ht="24.6" customHeight="1" x14ac:dyDescent="0.15">
      <c r="A32" s="31">
        <v>30</v>
      </c>
      <c r="B32" s="36">
        <v>34</v>
      </c>
      <c r="C32" s="41" t="s">
        <v>27</v>
      </c>
      <c r="D32" s="33">
        <v>15</v>
      </c>
      <c r="E32" s="33">
        <v>52</v>
      </c>
      <c r="F32" s="34">
        <f t="shared" si="1"/>
        <v>-0.71153846153846156</v>
      </c>
      <c r="G32" s="35">
        <v>3</v>
      </c>
      <c r="H32" s="34" t="s">
        <v>17</v>
      </c>
      <c r="I32" s="34" t="s">
        <v>17</v>
      </c>
      <c r="J32" s="35">
        <v>1</v>
      </c>
      <c r="K32" s="34" t="s">
        <v>17</v>
      </c>
      <c r="L32" s="33">
        <v>52922</v>
      </c>
      <c r="M32" s="35">
        <v>8005</v>
      </c>
      <c r="N32" s="37">
        <v>45030</v>
      </c>
      <c r="O32" s="67" t="s">
        <v>28</v>
      </c>
    </row>
    <row r="33" spans="1:16383" s="43" customFormat="1" ht="24.6" customHeight="1" x14ac:dyDescent="0.15">
      <c r="A33" s="31">
        <v>31</v>
      </c>
      <c r="B33" s="36">
        <v>33</v>
      </c>
      <c r="C33" s="41" t="s">
        <v>83</v>
      </c>
      <c r="D33" s="33">
        <v>11</v>
      </c>
      <c r="E33" s="33">
        <v>52.3</v>
      </c>
      <c r="F33" s="34">
        <f t="shared" si="1"/>
        <v>-0.78967495219885275</v>
      </c>
      <c r="G33" s="35">
        <v>3</v>
      </c>
      <c r="H33" s="36">
        <v>1</v>
      </c>
      <c r="I33" s="36">
        <f>G33/H33</f>
        <v>3</v>
      </c>
      <c r="J33" s="35">
        <v>1</v>
      </c>
      <c r="K33" s="36">
        <v>6</v>
      </c>
      <c r="L33" s="33">
        <v>1032.8</v>
      </c>
      <c r="M33" s="35">
        <v>193</v>
      </c>
      <c r="N33" s="37">
        <v>45052</v>
      </c>
      <c r="O33" s="67" t="s">
        <v>30</v>
      </c>
    </row>
    <row r="34" spans="1:16383" s="51" customFormat="1" ht="24.6" customHeight="1" x14ac:dyDescent="0.2">
      <c r="B34" s="84"/>
      <c r="C34" s="77" t="s">
        <v>147</v>
      </c>
      <c r="D34" s="52">
        <f>SUBTOTAL(109,Table132456789[Pajamos 
(GBO)])</f>
        <v>152744.02000000005</v>
      </c>
      <c r="E34" s="52" t="s">
        <v>141</v>
      </c>
      <c r="F34" s="81">
        <f t="shared" si="1"/>
        <v>-0.15154466577049955</v>
      </c>
      <c r="G34" s="78">
        <f>SUBTOTAL(109,Table132456789[Žiūrovų sk. 
(ADM)])</f>
        <v>23329</v>
      </c>
      <c r="H34" s="70"/>
      <c r="I34" s="70"/>
      <c r="J34" s="70"/>
      <c r="K34" s="70"/>
      <c r="L34" s="52"/>
      <c r="M34" s="78"/>
      <c r="N34" s="53"/>
      <c r="O34" s="79" t="s">
        <v>56</v>
      </c>
    </row>
    <row r="35" spans="1:16383" ht="11.25" hidden="1" x14ac:dyDescent="0.15">
      <c r="F35" s="4"/>
      <c r="L35" s="3"/>
    </row>
    <row r="36" spans="1:16383" ht="11.25" hidden="1" x14ac:dyDescent="0.15">
      <c r="F36" s="4"/>
      <c r="L36" s="3"/>
    </row>
    <row r="37" spans="1:16383" ht="11.25" hidden="1" x14ac:dyDescent="0.15">
      <c r="F37" s="4"/>
      <c r="L37" s="3"/>
    </row>
    <row r="38" spans="1:16383" ht="11.25" hidden="1" x14ac:dyDescent="0.15">
      <c r="F38" s="4"/>
      <c r="L38" s="3"/>
    </row>
    <row r="39" spans="1:16383" ht="11.25" hidden="1" x14ac:dyDescent="0.15">
      <c r="F39" s="4"/>
      <c r="L39" s="3"/>
    </row>
    <row r="40" spans="1:16383" ht="11.25" hidden="1" x14ac:dyDescent="0.15">
      <c r="F40" s="4"/>
      <c r="L40" s="3"/>
    </row>
    <row r="41" spans="1:16383" ht="11.25" hidden="1" x14ac:dyDescent="0.15">
      <c r="F41" s="4"/>
      <c r="L41" s="3"/>
    </row>
    <row r="42" spans="1:16383" ht="11.25" hidden="1" x14ac:dyDescent="0.15">
      <c r="F42" s="4"/>
      <c r="L42" s="3"/>
    </row>
    <row r="43" spans="1:16383" ht="11.25" hidden="1" x14ac:dyDescent="0.15">
      <c r="F43" s="4"/>
      <c r="L43" s="3"/>
    </row>
    <row r="44" spans="1:16383" ht="11.25" hidden="1" x14ac:dyDescent="0.15">
      <c r="F44" s="4"/>
      <c r="L44" s="3"/>
    </row>
    <row r="45" spans="1:16383" ht="11.25" hidden="1" x14ac:dyDescent="0.15">
      <c r="F45" s="4"/>
      <c r="L45" s="3"/>
    </row>
    <row r="46" spans="1:16383" ht="11.25" hidden="1" x14ac:dyDescent="0.15">
      <c r="F46" s="4"/>
      <c r="L46" s="3"/>
    </row>
    <row r="47" spans="1:16383" ht="11.25" hidden="1" x14ac:dyDescent="0.15">
      <c r="F47" s="4"/>
    </row>
    <row r="48" spans="1:16383" s="44" customFormat="1" ht="11.25" hidden="1" x14ac:dyDescent="0.15">
      <c r="A48" s="1"/>
      <c r="B48" s="66"/>
      <c r="C48" s="1"/>
      <c r="D48" s="5"/>
      <c r="E48" s="5"/>
      <c r="F48" s="4"/>
      <c r="K48" s="66"/>
      <c r="L48" s="5"/>
      <c r="N48" s="12"/>
      <c r="O48" s="6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44" customFormat="1" ht="11.25" hidden="1" x14ac:dyDescent="0.15">
      <c r="A49" s="1"/>
      <c r="B49" s="66"/>
      <c r="C49" s="1"/>
      <c r="D49" s="5"/>
      <c r="E49" s="5"/>
      <c r="F49" s="4"/>
      <c r="K49" s="66"/>
      <c r="L49" s="5"/>
      <c r="N49" s="12"/>
      <c r="O49" s="6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44" customFormat="1" ht="11.25" hidden="1" x14ac:dyDescent="0.15">
      <c r="A50" s="1"/>
      <c r="B50" s="66"/>
      <c r="C50" s="1"/>
      <c r="D50" s="5"/>
      <c r="E50" s="5"/>
      <c r="F50" s="4"/>
      <c r="K50" s="66"/>
      <c r="L50" s="5"/>
      <c r="N50" s="12"/>
      <c r="O50" s="6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</sheetData>
  <mergeCells count="1">
    <mergeCell ref="A1:O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4A936-AA8A-4EA6-BACB-FF69199957D7}">
  <sheetPr>
    <pageSetUpPr fitToPage="1"/>
  </sheetPr>
  <dimension ref="A1:XFC57"/>
  <sheetViews>
    <sheetView topLeftCell="A16" zoomScale="60" zoomScaleNormal="60" workbookViewId="0">
      <selection activeCell="N21" sqref="N21:O21"/>
    </sheetView>
  </sheetViews>
  <sheetFormatPr defaultColWidth="18.28515625" defaultRowHeight="11.25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129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6" t="s">
        <v>15</v>
      </c>
      <c r="C3" s="41" t="s">
        <v>133</v>
      </c>
      <c r="D3" s="33">
        <v>60095.64</v>
      </c>
      <c r="E3" s="33" t="s">
        <v>17</v>
      </c>
      <c r="F3" s="34" t="s">
        <v>17</v>
      </c>
      <c r="G3" s="35">
        <v>9186</v>
      </c>
      <c r="H3" s="36">
        <v>145</v>
      </c>
      <c r="I3" s="36">
        <f>G3/H3</f>
        <v>63.351724137931036</v>
      </c>
      <c r="J3" s="35">
        <v>18</v>
      </c>
      <c r="K3" s="36">
        <v>1</v>
      </c>
      <c r="L3" s="33">
        <v>73262.13</v>
      </c>
      <c r="M3" s="35">
        <v>11260</v>
      </c>
      <c r="N3" s="37">
        <v>45079</v>
      </c>
      <c r="O3" s="67" t="s">
        <v>23</v>
      </c>
    </row>
    <row r="4" spans="1:18" s="39" customFormat="1" ht="24.6" customHeight="1" x14ac:dyDescent="0.2">
      <c r="A4" s="31">
        <v>2</v>
      </c>
      <c r="B4" s="36">
        <v>1</v>
      </c>
      <c r="C4" s="41" t="s">
        <v>114</v>
      </c>
      <c r="D4" s="33">
        <v>35305.97</v>
      </c>
      <c r="E4" s="33">
        <v>49925.68</v>
      </c>
      <c r="F4" s="34">
        <f>(D4-E4)/E4</f>
        <v>-0.29282946171188851</v>
      </c>
      <c r="G4" s="35">
        <v>4470</v>
      </c>
      <c r="H4" s="36">
        <v>129</v>
      </c>
      <c r="I4" s="36">
        <f t="shared" ref="I4:I14" si="0">G4/H4</f>
        <v>34.651162790697676</v>
      </c>
      <c r="J4" s="35">
        <v>17</v>
      </c>
      <c r="K4" s="36">
        <v>3</v>
      </c>
      <c r="L4" s="33">
        <v>271987.51</v>
      </c>
      <c r="M4" s="35">
        <v>36421</v>
      </c>
      <c r="N4" s="37">
        <v>45065</v>
      </c>
      <c r="O4" s="59" t="s">
        <v>71</v>
      </c>
    </row>
    <row r="5" spans="1:18" s="39" customFormat="1" ht="24.95" customHeight="1" x14ac:dyDescent="0.2">
      <c r="A5" s="31">
        <v>3</v>
      </c>
      <c r="B5" s="36">
        <v>3</v>
      </c>
      <c r="C5" s="32" t="s">
        <v>126</v>
      </c>
      <c r="D5" s="33">
        <v>15261.46</v>
      </c>
      <c r="E5" s="33">
        <v>14729.69</v>
      </c>
      <c r="F5" s="34">
        <f>(D5-E5)/E5</f>
        <v>3.6101913889565809E-2</v>
      </c>
      <c r="G5" s="35">
        <v>2666</v>
      </c>
      <c r="H5" s="36">
        <v>83</v>
      </c>
      <c r="I5" s="36">
        <f t="shared" si="0"/>
        <v>32.120481927710841</v>
      </c>
      <c r="J5" s="35">
        <v>12</v>
      </c>
      <c r="K5" s="36">
        <v>2</v>
      </c>
      <c r="L5" s="33">
        <v>39474.019999999997</v>
      </c>
      <c r="M5" s="35">
        <v>7276</v>
      </c>
      <c r="N5" s="37">
        <v>45072</v>
      </c>
      <c r="O5" s="59" t="s">
        <v>49</v>
      </c>
      <c r="R5" s="31"/>
    </row>
    <row r="6" spans="1:18" s="39" customFormat="1" ht="24.95" customHeight="1" x14ac:dyDescent="0.2">
      <c r="A6" s="31">
        <v>4</v>
      </c>
      <c r="B6" s="36" t="s">
        <v>15</v>
      </c>
      <c r="C6" s="41" t="s">
        <v>136</v>
      </c>
      <c r="D6" s="33">
        <v>14318.93</v>
      </c>
      <c r="E6" s="33" t="s">
        <v>17</v>
      </c>
      <c r="F6" s="34" t="s">
        <v>17</v>
      </c>
      <c r="G6" s="35">
        <v>2077</v>
      </c>
      <c r="H6" s="36">
        <v>82</v>
      </c>
      <c r="I6" s="36">
        <f t="shared" si="0"/>
        <v>25.329268292682926</v>
      </c>
      <c r="J6" s="35">
        <v>15</v>
      </c>
      <c r="K6" s="36">
        <v>1</v>
      </c>
      <c r="L6" s="33">
        <v>14318.93</v>
      </c>
      <c r="M6" s="35">
        <v>2077</v>
      </c>
      <c r="N6" s="37">
        <v>45079</v>
      </c>
      <c r="O6" s="59" t="s">
        <v>49</v>
      </c>
      <c r="R6" s="31"/>
    </row>
    <row r="7" spans="1:18" s="39" customFormat="1" ht="24.95" customHeight="1" x14ac:dyDescent="0.2">
      <c r="A7" s="31">
        <v>5</v>
      </c>
      <c r="B7" s="36">
        <v>4</v>
      </c>
      <c r="C7" s="32" t="s">
        <v>19</v>
      </c>
      <c r="D7" s="33">
        <v>12732.56</v>
      </c>
      <c r="E7" s="33">
        <v>11789.34</v>
      </c>
      <c r="F7" s="34">
        <f>(D7-E7)/E7</f>
        <v>8.0006175070020821E-2</v>
      </c>
      <c r="G7" s="35">
        <v>2338</v>
      </c>
      <c r="H7" s="36">
        <v>68</v>
      </c>
      <c r="I7" s="36">
        <f t="shared" si="0"/>
        <v>34.382352941176471</v>
      </c>
      <c r="J7" s="35">
        <v>11</v>
      </c>
      <c r="K7" s="36">
        <v>9</v>
      </c>
      <c r="L7" s="33">
        <v>536460.11</v>
      </c>
      <c r="M7" s="35">
        <v>97376</v>
      </c>
      <c r="N7" s="37">
        <v>45023</v>
      </c>
      <c r="O7" s="59" t="s">
        <v>71</v>
      </c>
      <c r="R7" s="31"/>
    </row>
    <row r="8" spans="1:18" s="39" customFormat="1" ht="24.95" customHeight="1" x14ac:dyDescent="0.2">
      <c r="A8" s="31">
        <v>6</v>
      </c>
      <c r="B8" s="36">
        <v>2</v>
      </c>
      <c r="C8" s="41" t="s">
        <v>85</v>
      </c>
      <c r="D8" s="33">
        <v>12288.74</v>
      </c>
      <c r="E8" s="33">
        <v>16699.310000000001</v>
      </c>
      <c r="F8" s="34">
        <f>(D8-E8)/E8</f>
        <v>-0.2641169006384097</v>
      </c>
      <c r="G8" s="35">
        <v>1779</v>
      </c>
      <c r="H8" s="36">
        <v>52</v>
      </c>
      <c r="I8" s="36">
        <f t="shared" si="0"/>
        <v>34.21153846153846</v>
      </c>
      <c r="J8" s="35">
        <v>8</v>
      </c>
      <c r="K8" s="36">
        <v>5</v>
      </c>
      <c r="L8" s="33">
        <v>248147.19</v>
      </c>
      <c r="M8" s="35">
        <v>34381</v>
      </c>
      <c r="N8" s="37">
        <v>45051</v>
      </c>
      <c r="O8" s="59" t="s">
        <v>49</v>
      </c>
      <c r="R8" s="31"/>
    </row>
    <row r="9" spans="1:18" s="39" customFormat="1" ht="24.95" customHeight="1" x14ac:dyDescent="0.2">
      <c r="A9" s="31">
        <v>7</v>
      </c>
      <c r="B9" s="36">
        <v>6</v>
      </c>
      <c r="C9" s="32" t="s">
        <v>16</v>
      </c>
      <c r="D9" s="33">
        <v>4891.33</v>
      </c>
      <c r="E9" s="33">
        <v>5597.69</v>
      </c>
      <c r="F9" s="34">
        <f>(D9-E9)/E9</f>
        <v>-0.12618776673949428</v>
      </c>
      <c r="G9" s="35">
        <v>967</v>
      </c>
      <c r="H9" s="36">
        <v>50</v>
      </c>
      <c r="I9" s="36">
        <f t="shared" si="0"/>
        <v>19.34</v>
      </c>
      <c r="J9" s="35">
        <v>10</v>
      </c>
      <c r="K9" s="36">
        <v>7</v>
      </c>
      <c r="L9" s="33">
        <v>238006.23</v>
      </c>
      <c r="M9" s="35">
        <v>47228</v>
      </c>
      <c r="N9" s="37">
        <v>45037</v>
      </c>
      <c r="O9" s="59" t="s">
        <v>18</v>
      </c>
      <c r="R9" s="31"/>
    </row>
    <row r="10" spans="1:18" s="39" customFormat="1" ht="24.95" customHeight="1" x14ac:dyDescent="0.2">
      <c r="A10" s="31">
        <v>8</v>
      </c>
      <c r="B10" s="36">
        <v>5</v>
      </c>
      <c r="C10" s="32" t="s">
        <v>122</v>
      </c>
      <c r="D10" s="33">
        <v>3853.94</v>
      </c>
      <c r="E10" s="33">
        <v>6513.24</v>
      </c>
      <c r="F10" s="34">
        <f>(D10-E10)/E10</f>
        <v>-0.40829141871019642</v>
      </c>
      <c r="G10" s="35">
        <v>549</v>
      </c>
      <c r="H10" s="36">
        <v>24</v>
      </c>
      <c r="I10" s="36">
        <f t="shared" si="0"/>
        <v>22.875</v>
      </c>
      <c r="J10" s="35">
        <v>9</v>
      </c>
      <c r="K10" s="36">
        <v>2</v>
      </c>
      <c r="L10" s="33">
        <v>15686.71</v>
      </c>
      <c r="M10" s="35">
        <v>2583</v>
      </c>
      <c r="N10" s="37">
        <v>45072</v>
      </c>
      <c r="O10" s="59" t="s">
        <v>25</v>
      </c>
      <c r="R10" s="31"/>
    </row>
    <row r="11" spans="1:18" s="39" customFormat="1" ht="24.95" customHeight="1" x14ac:dyDescent="0.2">
      <c r="A11" s="31">
        <v>9</v>
      </c>
      <c r="B11" s="36" t="s">
        <v>15</v>
      </c>
      <c r="C11" s="41" t="s">
        <v>137</v>
      </c>
      <c r="D11" s="33">
        <v>3602.32</v>
      </c>
      <c r="E11" s="33" t="s">
        <v>17</v>
      </c>
      <c r="F11" s="34" t="s">
        <v>17</v>
      </c>
      <c r="G11" s="35">
        <v>494</v>
      </c>
      <c r="H11" s="36">
        <v>44</v>
      </c>
      <c r="I11" s="36">
        <f t="shared" si="0"/>
        <v>11.227272727272727</v>
      </c>
      <c r="J11" s="35">
        <v>14</v>
      </c>
      <c r="K11" s="36">
        <v>1</v>
      </c>
      <c r="L11" s="33">
        <v>3602.32</v>
      </c>
      <c r="M11" s="35">
        <v>494</v>
      </c>
      <c r="N11" s="37">
        <v>45079</v>
      </c>
      <c r="O11" s="67" t="s">
        <v>39</v>
      </c>
      <c r="R11" s="31"/>
    </row>
    <row r="12" spans="1:18" s="39" customFormat="1" ht="24.6" customHeight="1" x14ac:dyDescent="0.2">
      <c r="A12" s="31">
        <v>10</v>
      </c>
      <c r="B12" s="36" t="s">
        <v>15</v>
      </c>
      <c r="C12" s="41" t="s">
        <v>130</v>
      </c>
      <c r="D12" s="33">
        <v>3506.39</v>
      </c>
      <c r="E12" s="33" t="s">
        <v>17</v>
      </c>
      <c r="F12" s="34" t="s">
        <v>17</v>
      </c>
      <c r="G12" s="35">
        <v>508</v>
      </c>
      <c r="H12" s="36">
        <v>16</v>
      </c>
      <c r="I12" s="36">
        <f t="shared" si="0"/>
        <v>31.75</v>
      </c>
      <c r="J12" s="35">
        <v>46</v>
      </c>
      <c r="K12" s="36">
        <v>1</v>
      </c>
      <c r="L12" s="33">
        <v>4479.99</v>
      </c>
      <c r="M12" s="35">
        <v>638</v>
      </c>
      <c r="N12" s="37">
        <v>45078</v>
      </c>
      <c r="O12" s="67" t="s">
        <v>33</v>
      </c>
      <c r="R12" s="31"/>
    </row>
    <row r="13" spans="1:18" s="39" customFormat="1" ht="24.95" customHeight="1" x14ac:dyDescent="0.2">
      <c r="A13" s="31">
        <v>11</v>
      </c>
      <c r="B13" s="36">
        <v>7</v>
      </c>
      <c r="C13" s="41" t="s">
        <v>106</v>
      </c>
      <c r="D13" s="33">
        <v>2536.81</v>
      </c>
      <c r="E13" s="33">
        <v>4137.33</v>
      </c>
      <c r="F13" s="34">
        <f>(D13-E13)/E13</f>
        <v>-0.3868485230813109</v>
      </c>
      <c r="G13" s="35">
        <v>517</v>
      </c>
      <c r="H13" s="36">
        <v>20</v>
      </c>
      <c r="I13" s="36">
        <f t="shared" si="0"/>
        <v>25.85</v>
      </c>
      <c r="J13" s="35">
        <v>10</v>
      </c>
      <c r="K13" s="36">
        <v>4</v>
      </c>
      <c r="L13" s="33">
        <v>27247.5</v>
      </c>
      <c r="M13" s="35">
        <v>5781</v>
      </c>
      <c r="N13" s="37">
        <v>45058</v>
      </c>
      <c r="O13" s="67" t="s">
        <v>25</v>
      </c>
      <c r="R13" s="31"/>
    </row>
    <row r="14" spans="1:18" s="39" customFormat="1" ht="24.95" customHeight="1" x14ac:dyDescent="0.2">
      <c r="A14" s="31">
        <v>12</v>
      </c>
      <c r="B14" s="36">
        <v>10</v>
      </c>
      <c r="C14" s="41" t="s">
        <v>62</v>
      </c>
      <c r="D14" s="45">
        <v>2371.36</v>
      </c>
      <c r="E14" s="45">
        <v>1808.76</v>
      </c>
      <c r="F14" s="34">
        <f>(D14-E14)/E14</f>
        <v>0.31104181870452696</v>
      </c>
      <c r="G14" s="46">
        <v>431</v>
      </c>
      <c r="H14" s="36">
        <v>15</v>
      </c>
      <c r="I14" s="36">
        <f t="shared" si="0"/>
        <v>28.733333333333334</v>
      </c>
      <c r="J14" s="35">
        <v>3</v>
      </c>
      <c r="K14" s="36">
        <v>6</v>
      </c>
      <c r="L14" s="45">
        <v>37648.449999999997</v>
      </c>
      <c r="M14" s="46">
        <v>7498</v>
      </c>
      <c r="N14" s="37">
        <v>45044</v>
      </c>
      <c r="O14" s="59" t="s">
        <v>33</v>
      </c>
      <c r="R14" s="31"/>
    </row>
    <row r="15" spans="1:18" s="39" customFormat="1" ht="24.6" customHeight="1" x14ac:dyDescent="0.2">
      <c r="A15" s="31">
        <v>13</v>
      </c>
      <c r="B15" s="36">
        <v>8</v>
      </c>
      <c r="C15" s="32" t="s">
        <v>125</v>
      </c>
      <c r="D15" s="33">
        <v>2000.76</v>
      </c>
      <c r="E15" s="33">
        <v>3744.81</v>
      </c>
      <c r="F15" s="34">
        <f>(D15-E15)/E15</f>
        <v>-0.46572456279490815</v>
      </c>
      <c r="G15" s="35">
        <v>285</v>
      </c>
      <c r="H15" s="36" t="s">
        <v>17</v>
      </c>
      <c r="I15" s="36" t="s">
        <v>17</v>
      </c>
      <c r="J15" s="35">
        <v>6</v>
      </c>
      <c r="K15" s="36">
        <v>2</v>
      </c>
      <c r="L15" s="33">
        <v>8171.4</v>
      </c>
      <c r="M15" s="35">
        <v>1313</v>
      </c>
      <c r="N15" s="37">
        <v>45072</v>
      </c>
      <c r="O15" s="59" t="s">
        <v>67</v>
      </c>
      <c r="R15" s="31"/>
    </row>
    <row r="16" spans="1:18" s="39" customFormat="1" ht="24.95" customHeight="1" x14ac:dyDescent="0.2">
      <c r="A16" s="31">
        <v>14</v>
      </c>
      <c r="B16" s="36">
        <v>9</v>
      </c>
      <c r="C16" s="41" t="s">
        <v>118</v>
      </c>
      <c r="D16" s="33">
        <v>952.95</v>
      </c>
      <c r="E16" s="33">
        <v>2017.38</v>
      </c>
      <c r="F16" s="34">
        <f>(D16-E16)/E16</f>
        <v>-0.52762989620200462</v>
      </c>
      <c r="G16" s="35">
        <v>204</v>
      </c>
      <c r="H16" s="36">
        <v>14</v>
      </c>
      <c r="I16" s="36">
        <f>G16/H16</f>
        <v>14.571428571428571</v>
      </c>
      <c r="J16" s="35">
        <v>5</v>
      </c>
      <c r="K16" s="36">
        <v>2</v>
      </c>
      <c r="L16" s="33">
        <v>3871.32</v>
      </c>
      <c r="M16" s="35">
        <v>930</v>
      </c>
      <c r="N16" s="37">
        <v>45072</v>
      </c>
      <c r="O16" s="67" t="s">
        <v>30</v>
      </c>
      <c r="R16" s="31"/>
    </row>
    <row r="17" spans="1:18" s="39" customFormat="1" ht="24.75" customHeight="1" x14ac:dyDescent="0.2">
      <c r="A17" s="31">
        <v>15</v>
      </c>
      <c r="B17" s="33" t="s">
        <v>17</v>
      </c>
      <c r="C17" s="41" t="s">
        <v>138</v>
      </c>
      <c r="D17" s="33">
        <v>881.11</v>
      </c>
      <c r="E17" s="33" t="s">
        <v>17</v>
      </c>
      <c r="F17" s="34" t="s">
        <v>17</v>
      </c>
      <c r="G17" s="35">
        <v>171</v>
      </c>
      <c r="H17" s="36">
        <v>5</v>
      </c>
      <c r="I17" s="36">
        <f t="shared" ref="I17:I30" si="1">G17/H17</f>
        <v>34.200000000000003</v>
      </c>
      <c r="J17" s="35">
        <v>2</v>
      </c>
      <c r="K17" s="34" t="s">
        <v>17</v>
      </c>
      <c r="L17" s="33">
        <v>1341688.92</v>
      </c>
      <c r="M17" s="35">
        <v>249128</v>
      </c>
      <c r="N17" s="37">
        <v>44743</v>
      </c>
      <c r="O17" s="67" t="s">
        <v>71</v>
      </c>
      <c r="R17" s="31"/>
    </row>
    <row r="18" spans="1:18" s="43" customFormat="1" ht="24.6" customHeight="1" x14ac:dyDescent="0.15">
      <c r="A18" s="31">
        <v>16</v>
      </c>
      <c r="B18" s="36">
        <v>12</v>
      </c>
      <c r="C18" s="41" t="s">
        <v>115</v>
      </c>
      <c r="D18" s="33">
        <v>868.1</v>
      </c>
      <c r="E18" s="33">
        <v>774.05</v>
      </c>
      <c r="F18" s="34">
        <f>(D18-E18)/E18</f>
        <v>0.12150377882565735</v>
      </c>
      <c r="G18" s="35">
        <v>148</v>
      </c>
      <c r="H18" s="36">
        <v>7</v>
      </c>
      <c r="I18" s="36">
        <f t="shared" si="1"/>
        <v>21.142857142857142</v>
      </c>
      <c r="J18" s="35">
        <v>4</v>
      </c>
      <c r="K18" s="36">
        <v>3</v>
      </c>
      <c r="L18" s="33">
        <v>5437.05</v>
      </c>
      <c r="M18" s="35">
        <v>972</v>
      </c>
      <c r="N18" s="37">
        <v>45065</v>
      </c>
      <c r="O18" s="59" t="s">
        <v>49</v>
      </c>
    </row>
    <row r="19" spans="1:18" s="43" customFormat="1" ht="24.95" customHeight="1" x14ac:dyDescent="0.15">
      <c r="A19" s="31">
        <v>17</v>
      </c>
      <c r="B19" s="36">
        <v>13</v>
      </c>
      <c r="C19" s="32" t="s">
        <v>42</v>
      </c>
      <c r="D19" s="33">
        <v>577.79999999999995</v>
      </c>
      <c r="E19" s="33">
        <v>634.29999999999995</v>
      </c>
      <c r="F19" s="34">
        <f>(D19-E19)/E19</f>
        <v>-8.9074570392558727E-2</v>
      </c>
      <c r="G19" s="35">
        <v>81</v>
      </c>
      <c r="H19" s="36">
        <v>5</v>
      </c>
      <c r="I19" s="36">
        <f t="shared" si="1"/>
        <v>16.2</v>
      </c>
      <c r="J19" s="35">
        <v>1</v>
      </c>
      <c r="K19" s="36">
        <v>14</v>
      </c>
      <c r="L19" s="33">
        <v>234113.23000000004</v>
      </c>
      <c r="M19" s="35">
        <v>36676</v>
      </c>
      <c r="N19" s="37">
        <v>44988</v>
      </c>
      <c r="O19" s="59" t="s">
        <v>43</v>
      </c>
    </row>
    <row r="20" spans="1:18" s="43" customFormat="1" ht="24.95" customHeight="1" x14ac:dyDescent="0.15">
      <c r="A20" s="31">
        <v>18</v>
      </c>
      <c r="B20" s="34" t="s">
        <v>17</v>
      </c>
      <c r="C20" s="41" t="s">
        <v>134</v>
      </c>
      <c r="D20" s="33">
        <v>496.27</v>
      </c>
      <c r="E20" s="33" t="s">
        <v>17</v>
      </c>
      <c r="F20" s="34" t="s">
        <v>17</v>
      </c>
      <c r="G20" s="35">
        <v>144</v>
      </c>
      <c r="H20" s="36">
        <v>6</v>
      </c>
      <c r="I20" s="36">
        <f t="shared" si="1"/>
        <v>24</v>
      </c>
      <c r="J20" s="35">
        <v>2</v>
      </c>
      <c r="K20" s="34" t="s">
        <v>17</v>
      </c>
      <c r="L20" s="33">
        <v>321321.33</v>
      </c>
      <c r="M20" s="35">
        <v>68500</v>
      </c>
      <c r="N20" s="37">
        <v>44771</v>
      </c>
      <c r="O20" s="67" t="s">
        <v>21</v>
      </c>
    </row>
    <row r="21" spans="1:18" s="43" customFormat="1" ht="24.6" customHeight="1" x14ac:dyDescent="0.15">
      <c r="A21" s="31">
        <v>19</v>
      </c>
      <c r="B21" s="34" t="s">
        <v>17</v>
      </c>
      <c r="C21" s="41" t="s">
        <v>135</v>
      </c>
      <c r="D21" s="33">
        <v>477.5</v>
      </c>
      <c r="E21" s="33" t="s">
        <v>17</v>
      </c>
      <c r="F21" s="34" t="s">
        <v>17</v>
      </c>
      <c r="G21" s="35">
        <v>212</v>
      </c>
      <c r="H21" s="36">
        <v>9</v>
      </c>
      <c r="I21" s="36">
        <f t="shared" si="1"/>
        <v>23.555555555555557</v>
      </c>
      <c r="J21" s="35">
        <v>2</v>
      </c>
      <c r="K21" s="34" t="s">
        <v>17</v>
      </c>
      <c r="L21" s="33">
        <v>184820.54</v>
      </c>
      <c r="M21" s="35">
        <v>36478</v>
      </c>
      <c r="N21" s="37">
        <v>44869</v>
      </c>
      <c r="O21" s="67" t="s">
        <v>23</v>
      </c>
    </row>
    <row r="22" spans="1:18" s="43" customFormat="1" ht="24.6" customHeight="1" x14ac:dyDescent="0.15">
      <c r="A22" s="31">
        <v>20</v>
      </c>
      <c r="B22" s="36">
        <v>30</v>
      </c>
      <c r="C22" s="32" t="s">
        <v>90</v>
      </c>
      <c r="D22" s="33">
        <v>389.3</v>
      </c>
      <c r="E22" s="33">
        <v>74</v>
      </c>
      <c r="F22" s="34">
        <f>(D22-E22)/E22</f>
        <v>4.2608108108108107</v>
      </c>
      <c r="G22" s="35">
        <v>66</v>
      </c>
      <c r="H22" s="36">
        <v>2</v>
      </c>
      <c r="I22" s="36">
        <f t="shared" si="1"/>
        <v>33</v>
      </c>
      <c r="J22" s="35">
        <v>2</v>
      </c>
      <c r="K22" s="34" t="s">
        <v>17</v>
      </c>
      <c r="L22" s="33">
        <v>40538.080000000009</v>
      </c>
      <c r="M22" s="35">
        <v>6877</v>
      </c>
      <c r="N22" s="37">
        <v>44678</v>
      </c>
      <c r="O22" s="59" t="s">
        <v>33</v>
      </c>
    </row>
    <row r="23" spans="1:18" s="43" customFormat="1" ht="24.6" customHeight="1" x14ac:dyDescent="0.15">
      <c r="A23" s="31">
        <v>21</v>
      </c>
      <c r="B23" s="36">
        <v>16</v>
      </c>
      <c r="C23" s="41" t="s">
        <v>20</v>
      </c>
      <c r="D23" s="45">
        <v>378.2</v>
      </c>
      <c r="E23" s="45">
        <v>444.13</v>
      </c>
      <c r="F23" s="34">
        <f>(D23-E23)/E23</f>
        <v>-0.14844752662508726</v>
      </c>
      <c r="G23" s="46">
        <v>51</v>
      </c>
      <c r="H23" s="36">
        <v>3</v>
      </c>
      <c r="I23" s="36">
        <f t="shared" si="1"/>
        <v>17</v>
      </c>
      <c r="J23" s="35">
        <v>1</v>
      </c>
      <c r="K23" s="36">
        <v>7</v>
      </c>
      <c r="L23" s="45">
        <v>74099.13</v>
      </c>
      <c r="M23" s="46">
        <v>10622</v>
      </c>
      <c r="N23" s="37">
        <v>45037</v>
      </c>
      <c r="O23" s="59" t="s">
        <v>21</v>
      </c>
    </row>
    <row r="24" spans="1:18" s="43" customFormat="1" ht="24.6" customHeight="1" x14ac:dyDescent="0.15">
      <c r="A24" s="31">
        <v>22</v>
      </c>
      <c r="B24" s="36">
        <v>18</v>
      </c>
      <c r="C24" s="41" t="s">
        <v>104</v>
      </c>
      <c r="D24" s="33">
        <v>282</v>
      </c>
      <c r="E24" s="33">
        <v>402</v>
      </c>
      <c r="F24" s="34">
        <f>(D24-E24)/E24</f>
        <v>-0.29850746268656714</v>
      </c>
      <c r="G24" s="35">
        <v>43</v>
      </c>
      <c r="H24" s="36" t="s">
        <v>17</v>
      </c>
      <c r="I24" s="36" t="s">
        <v>17</v>
      </c>
      <c r="J24" s="35">
        <v>3</v>
      </c>
      <c r="K24" s="36">
        <v>4</v>
      </c>
      <c r="L24" s="33">
        <v>8950</v>
      </c>
      <c r="M24" s="35">
        <v>1491</v>
      </c>
      <c r="N24" s="37">
        <v>45058</v>
      </c>
      <c r="O24" s="67" t="s">
        <v>28</v>
      </c>
    </row>
    <row r="25" spans="1:18" s="43" customFormat="1" ht="24.6" customHeight="1" x14ac:dyDescent="0.15">
      <c r="A25" s="31">
        <v>23</v>
      </c>
      <c r="B25" s="36">
        <v>19</v>
      </c>
      <c r="C25" s="32" t="s">
        <v>22</v>
      </c>
      <c r="D25" s="33">
        <v>276.8</v>
      </c>
      <c r="E25" s="33">
        <v>379.2</v>
      </c>
      <c r="F25" s="34">
        <f>(D25-E25)/E25</f>
        <v>-0.27004219409282693</v>
      </c>
      <c r="G25" s="35">
        <v>41</v>
      </c>
      <c r="H25" s="36">
        <v>2</v>
      </c>
      <c r="I25" s="36">
        <f t="shared" si="1"/>
        <v>20.5</v>
      </c>
      <c r="J25" s="35">
        <v>1</v>
      </c>
      <c r="K25" s="36">
        <v>9</v>
      </c>
      <c r="L25" s="33">
        <v>136718.25</v>
      </c>
      <c r="M25" s="35">
        <v>19740</v>
      </c>
      <c r="N25" s="37">
        <v>45023</v>
      </c>
      <c r="O25" s="59" t="s">
        <v>23</v>
      </c>
    </row>
    <row r="26" spans="1:18" s="43" customFormat="1" ht="24.6" customHeight="1" x14ac:dyDescent="0.15">
      <c r="A26" s="31">
        <v>24</v>
      </c>
      <c r="B26" s="36">
        <v>15</v>
      </c>
      <c r="C26" s="41" t="s">
        <v>127</v>
      </c>
      <c r="D26" s="33">
        <v>263.79999999999995</v>
      </c>
      <c r="E26" s="33">
        <v>561.47</v>
      </c>
      <c r="F26" s="34">
        <f>(D26-E26)/E26</f>
        <v>-0.53016189645038925</v>
      </c>
      <c r="G26" s="35">
        <v>61</v>
      </c>
      <c r="H26" s="36">
        <v>9</v>
      </c>
      <c r="I26" s="36">
        <f t="shared" si="1"/>
        <v>6.7777777777777777</v>
      </c>
      <c r="J26" s="35">
        <v>4</v>
      </c>
      <c r="K26" s="36">
        <v>2</v>
      </c>
      <c r="L26" s="33">
        <v>1349.76</v>
      </c>
      <c r="M26" s="35">
        <v>309</v>
      </c>
      <c r="N26" s="37">
        <v>45072</v>
      </c>
      <c r="O26" s="59" t="s">
        <v>89</v>
      </c>
    </row>
    <row r="27" spans="1:18" s="43" customFormat="1" ht="24.6" customHeight="1" x14ac:dyDescent="0.15">
      <c r="A27" s="31">
        <v>25</v>
      </c>
      <c r="B27" s="34" t="s">
        <v>17</v>
      </c>
      <c r="C27" s="41" t="s">
        <v>54</v>
      </c>
      <c r="D27" s="33">
        <v>220.5</v>
      </c>
      <c r="E27" s="33" t="s">
        <v>17</v>
      </c>
      <c r="F27" s="34" t="s">
        <v>17</v>
      </c>
      <c r="G27" s="35">
        <v>81</v>
      </c>
      <c r="H27" s="36">
        <v>7</v>
      </c>
      <c r="I27" s="36">
        <f t="shared" si="1"/>
        <v>11.571428571428571</v>
      </c>
      <c r="J27" s="35">
        <v>3</v>
      </c>
      <c r="K27" s="34" t="s">
        <v>17</v>
      </c>
      <c r="L27" s="33">
        <v>71295.03</v>
      </c>
      <c r="M27" s="35">
        <v>14684</v>
      </c>
      <c r="N27" s="37">
        <v>44981</v>
      </c>
      <c r="O27" s="67" t="s">
        <v>33</v>
      </c>
    </row>
    <row r="28" spans="1:18" s="43" customFormat="1" ht="24.6" customHeight="1" x14ac:dyDescent="0.15">
      <c r="A28" s="31">
        <v>26</v>
      </c>
      <c r="B28" s="34" t="s">
        <v>17</v>
      </c>
      <c r="C28" s="41" t="s">
        <v>131</v>
      </c>
      <c r="D28" s="33">
        <v>212.5</v>
      </c>
      <c r="E28" s="33" t="s">
        <v>17</v>
      </c>
      <c r="F28" s="34" t="s">
        <v>17</v>
      </c>
      <c r="G28" s="35">
        <v>85</v>
      </c>
      <c r="H28" s="36">
        <v>6</v>
      </c>
      <c r="I28" s="36">
        <f t="shared" si="1"/>
        <v>14.166666666666666</v>
      </c>
      <c r="J28" s="35">
        <v>2</v>
      </c>
      <c r="K28" s="34" t="s">
        <v>17</v>
      </c>
      <c r="L28" s="33">
        <v>166695.13</v>
      </c>
      <c r="M28" s="35">
        <v>33890</v>
      </c>
      <c r="N28" s="37">
        <v>44925</v>
      </c>
      <c r="O28" s="67" t="s">
        <v>33</v>
      </c>
    </row>
    <row r="29" spans="1:18" s="43" customFormat="1" ht="24.6" customHeight="1" x14ac:dyDescent="0.15">
      <c r="A29" s="31">
        <v>27</v>
      </c>
      <c r="B29" s="34" t="s">
        <v>17</v>
      </c>
      <c r="C29" s="41" t="s">
        <v>86</v>
      </c>
      <c r="D29" s="33">
        <v>201.2</v>
      </c>
      <c r="E29" s="33" t="s">
        <v>17</v>
      </c>
      <c r="F29" s="34" t="s">
        <v>17</v>
      </c>
      <c r="G29" s="35">
        <v>37</v>
      </c>
      <c r="H29" s="36">
        <v>2</v>
      </c>
      <c r="I29" s="36">
        <f t="shared" si="1"/>
        <v>18.5</v>
      </c>
      <c r="J29" s="35">
        <v>2</v>
      </c>
      <c r="K29" s="36">
        <v>6</v>
      </c>
      <c r="L29" s="33">
        <v>15649.87</v>
      </c>
      <c r="M29" s="35">
        <v>2477</v>
      </c>
      <c r="N29" s="37">
        <v>45047</v>
      </c>
      <c r="O29" s="67" t="s">
        <v>71</v>
      </c>
    </row>
    <row r="30" spans="1:18" s="43" customFormat="1" ht="24.6" customHeight="1" x14ac:dyDescent="0.15">
      <c r="A30" s="31">
        <v>28</v>
      </c>
      <c r="B30" s="36">
        <v>17</v>
      </c>
      <c r="C30" s="41" t="s">
        <v>61</v>
      </c>
      <c r="D30" s="45">
        <v>155</v>
      </c>
      <c r="E30" s="45">
        <v>415.6</v>
      </c>
      <c r="F30" s="34">
        <f t="shared" ref="F30:F35" si="2">(D30-E30)/E30</f>
        <v>-0.62704523580365734</v>
      </c>
      <c r="G30" s="46">
        <v>23</v>
      </c>
      <c r="H30" s="36">
        <v>1</v>
      </c>
      <c r="I30" s="36">
        <f t="shared" si="1"/>
        <v>23</v>
      </c>
      <c r="J30" s="35">
        <v>1</v>
      </c>
      <c r="K30" s="36">
        <v>6</v>
      </c>
      <c r="L30" s="45">
        <v>10394.070000000002</v>
      </c>
      <c r="M30" s="46">
        <v>1706</v>
      </c>
      <c r="N30" s="37">
        <v>45044</v>
      </c>
      <c r="O30" s="59" t="s">
        <v>33</v>
      </c>
    </row>
    <row r="31" spans="1:18" s="43" customFormat="1" ht="24.6" customHeight="1" x14ac:dyDescent="0.15">
      <c r="A31" s="31">
        <v>29</v>
      </c>
      <c r="B31" s="36">
        <v>14</v>
      </c>
      <c r="C31" s="41" t="s">
        <v>113</v>
      </c>
      <c r="D31" s="33">
        <v>124.42</v>
      </c>
      <c r="E31" s="33">
        <v>604</v>
      </c>
      <c r="F31" s="34">
        <f t="shared" si="2"/>
        <v>-0.79400662251655629</v>
      </c>
      <c r="G31" s="35">
        <v>19</v>
      </c>
      <c r="H31" s="36" t="s">
        <v>17</v>
      </c>
      <c r="I31" s="36" t="s">
        <v>17</v>
      </c>
      <c r="J31" s="35">
        <v>1</v>
      </c>
      <c r="K31" s="36">
        <v>3</v>
      </c>
      <c r="L31" s="33">
        <v>2787.99</v>
      </c>
      <c r="M31" s="35">
        <v>507</v>
      </c>
      <c r="N31" s="37">
        <v>45065</v>
      </c>
      <c r="O31" s="67" t="s">
        <v>67</v>
      </c>
    </row>
    <row r="32" spans="1:18" s="43" customFormat="1" ht="24.6" customHeight="1" x14ac:dyDescent="0.15">
      <c r="A32" s="31">
        <v>30</v>
      </c>
      <c r="B32" s="36">
        <v>23</v>
      </c>
      <c r="C32" s="41" t="s">
        <v>72</v>
      </c>
      <c r="D32" s="33">
        <v>103.6</v>
      </c>
      <c r="E32" s="33">
        <v>240.3</v>
      </c>
      <c r="F32" s="34">
        <f t="shared" si="2"/>
        <v>-0.56887224302954642</v>
      </c>
      <c r="G32" s="35">
        <v>17</v>
      </c>
      <c r="H32" s="36">
        <v>1</v>
      </c>
      <c r="I32" s="36">
        <f>G32/H32</f>
        <v>17</v>
      </c>
      <c r="J32" s="35">
        <v>1</v>
      </c>
      <c r="K32" s="36">
        <v>11</v>
      </c>
      <c r="L32" s="33">
        <v>55560</v>
      </c>
      <c r="M32" s="35">
        <v>7367</v>
      </c>
      <c r="N32" s="37">
        <v>45012</v>
      </c>
      <c r="O32" s="67" t="s">
        <v>73</v>
      </c>
    </row>
    <row r="33" spans="1:15" s="43" customFormat="1" ht="24.6" customHeight="1" x14ac:dyDescent="0.15">
      <c r="A33" s="31">
        <v>31</v>
      </c>
      <c r="B33" s="36">
        <v>26</v>
      </c>
      <c r="C33" s="41" t="s">
        <v>92</v>
      </c>
      <c r="D33" s="33">
        <v>81.2</v>
      </c>
      <c r="E33" s="33">
        <v>119</v>
      </c>
      <c r="F33" s="34">
        <f t="shared" si="2"/>
        <v>-0.31764705882352939</v>
      </c>
      <c r="G33" s="35">
        <v>12</v>
      </c>
      <c r="H33" s="36">
        <v>3</v>
      </c>
      <c r="I33" s="36">
        <f>G33/H33</f>
        <v>4</v>
      </c>
      <c r="J33" s="31">
        <v>2</v>
      </c>
      <c r="K33" s="36">
        <v>5</v>
      </c>
      <c r="L33" s="33">
        <v>3463</v>
      </c>
      <c r="M33" s="35">
        <v>609</v>
      </c>
      <c r="N33" s="37">
        <v>45051</v>
      </c>
      <c r="O33" s="38" t="s">
        <v>73</v>
      </c>
    </row>
    <row r="34" spans="1:15" s="43" customFormat="1" ht="24.6" customHeight="1" x14ac:dyDescent="0.15">
      <c r="A34" s="31">
        <v>32</v>
      </c>
      <c r="B34" s="36">
        <v>33</v>
      </c>
      <c r="C34" s="32" t="s">
        <v>47</v>
      </c>
      <c r="D34" s="33">
        <v>66.760000000000005</v>
      </c>
      <c r="E34" s="33">
        <v>12.9</v>
      </c>
      <c r="F34" s="34">
        <f t="shared" si="2"/>
        <v>4.1751937984496124</v>
      </c>
      <c r="G34" s="35">
        <v>18</v>
      </c>
      <c r="H34" s="36">
        <v>1</v>
      </c>
      <c r="I34" s="36">
        <f>G34/H34</f>
        <v>18</v>
      </c>
      <c r="J34" s="35">
        <v>1</v>
      </c>
      <c r="K34" s="36">
        <v>16</v>
      </c>
      <c r="L34" s="33">
        <v>276633.49</v>
      </c>
      <c r="M34" s="35">
        <v>46458</v>
      </c>
      <c r="N34" s="37">
        <v>44973</v>
      </c>
      <c r="O34" s="59" t="s">
        <v>25</v>
      </c>
    </row>
    <row r="35" spans="1:15" s="43" customFormat="1" ht="24.6" customHeight="1" x14ac:dyDescent="0.15">
      <c r="A35" s="31">
        <v>33</v>
      </c>
      <c r="B35" s="36">
        <v>36</v>
      </c>
      <c r="C35" s="41" t="s">
        <v>83</v>
      </c>
      <c r="D35" s="33">
        <v>52.3</v>
      </c>
      <c r="E35" s="33">
        <v>3.5</v>
      </c>
      <c r="F35" s="34">
        <f t="shared" si="2"/>
        <v>13.942857142857141</v>
      </c>
      <c r="G35" s="35">
        <v>12</v>
      </c>
      <c r="H35" s="36">
        <v>3</v>
      </c>
      <c r="I35" s="36">
        <f>G35/H35</f>
        <v>4</v>
      </c>
      <c r="J35" s="35">
        <v>2</v>
      </c>
      <c r="K35" s="36">
        <v>5</v>
      </c>
      <c r="L35" s="33">
        <v>953.15</v>
      </c>
      <c r="M35" s="35">
        <v>174</v>
      </c>
      <c r="N35" s="37">
        <v>45052</v>
      </c>
      <c r="O35" s="67" t="s">
        <v>30</v>
      </c>
    </row>
    <row r="36" spans="1:15" s="43" customFormat="1" ht="24.6" customHeight="1" x14ac:dyDescent="0.15">
      <c r="A36" s="31">
        <v>34</v>
      </c>
      <c r="B36" s="36" t="s">
        <v>17</v>
      </c>
      <c r="C36" s="41" t="s">
        <v>27</v>
      </c>
      <c r="D36" s="33">
        <v>52</v>
      </c>
      <c r="E36" s="33" t="s">
        <v>17</v>
      </c>
      <c r="F36" s="34" t="s">
        <v>17</v>
      </c>
      <c r="G36" s="35">
        <v>7</v>
      </c>
      <c r="H36" s="34" t="s">
        <v>17</v>
      </c>
      <c r="I36" s="34" t="s">
        <v>17</v>
      </c>
      <c r="J36" s="35">
        <v>1</v>
      </c>
      <c r="K36" s="34" t="s">
        <v>17</v>
      </c>
      <c r="L36" s="33">
        <v>52907</v>
      </c>
      <c r="M36" s="35">
        <v>8002</v>
      </c>
      <c r="N36" s="37">
        <v>45030</v>
      </c>
      <c r="O36" s="67" t="s">
        <v>28</v>
      </c>
    </row>
    <row r="37" spans="1:15" s="43" customFormat="1" ht="24.6" customHeight="1" x14ac:dyDescent="0.15">
      <c r="A37" s="31">
        <v>35</v>
      </c>
      <c r="B37" s="36">
        <v>34</v>
      </c>
      <c r="C37" s="41" t="s">
        <v>68</v>
      </c>
      <c r="D37" s="33">
        <v>44.5</v>
      </c>
      <c r="E37" s="33">
        <v>11</v>
      </c>
      <c r="F37" s="34">
        <f>(D37-E37)/E37</f>
        <v>3.0454545454545454</v>
      </c>
      <c r="G37" s="35">
        <v>10</v>
      </c>
      <c r="H37" s="36">
        <v>1</v>
      </c>
      <c r="I37" s="36">
        <f>G37/H37</f>
        <v>10</v>
      </c>
      <c r="J37" s="35">
        <v>1</v>
      </c>
      <c r="K37" s="36">
        <v>7</v>
      </c>
      <c r="L37" s="33">
        <v>2766.7000000000003</v>
      </c>
      <c r="M37" s="35">
        <v>502</v>
      </c>
      <c r="N37" s="37">
        <v>45043</v>
      </c>
      <c r="O37" s="67" t="s">
        <v>69</v>
      </c>
    </row>
    <row r="38" spans="1:15" s="43" customFormat="1" ht="24.6" customHeight="1" x14ac:dyDescent="0.15">
      <c r="A38" s="31">
        <v>36</v>
      </c>
      <c r="B38" s="36">
        <v>27</v>
      </c>
      <c r="C38" s="41" t="s">
        <v>112</v>
      </c>
      <c r="D38" s="33">
        <v>40</v>
      </c>
      <c r="E38" s="33">
        <v>106.5</v>
      </c>
      <c r="F38" s="34">
        <f>(D38-E38)/E38</f>
        <v>-0.62441314553990612</v>
      </c>
      <c r="G38" s="35">
        <v>8</v>
      </c>
      <c r="H38" s="36">
        <v>2</v>
      </c>
      <c r="I38" s="36">
        <f t="shared" ref="I38:I40" si="3">G38/H38</f>
        <v>4</v>
      </c>
      <c r="J38" s="35">
        <v>2</v>
      </c>
      <c r="K38" s="36">
        <v>3</v>
      </c>
      <c r="L38" s="33">
        <v>1243</v>
      </c>
      <c r="M38" s="35">
        <v>298</v>
      </c>
      <c r="N38" s="37">
        <v>45065</v>
      </c>
      <c r="O38" s="67" t="s">
        <v>73</v>
      </c>
    </row>
    <row r="39" spans="1:15" s="43" customFormat="1" ht="24.6" customHeight="1" x14ac:dyDescent="0.15">
      <c r="A39" s="31">
        <v>37</v>
      </c>
      <c r="B39" s="33" t="s">
        <v>17</v>
      </c>
      <c r="C39" s="41" t="s">
        <v>139</v>
      </c>
      <c r="D39" s="33">
        <v>34</v>
      </c>
      <c r="E39" s="33" t="s">
        <v>17</v>
      </c>
      <c r="F39" s="34" t="s">
        <v>17</v>
      </c>
      <c r="G39" s="35">
        <v>7</v>
      </c>
      <c r="H39" s="36">
        <v>1</v>
      </c>
      <c r="I39" s="36">
        <f t="shared" si="3"/>
        <v>7</v>
      </c>
      <c r="J39" s="35">
        <v>1</v>
      </c>
      <c r="K39" s="34" t="s">
        <v>17</v>
      </c>
      <c r="L39" s="33">
        <v>203</v>
      </c>
      <c r="M39" s="35">
        <v>38</v>
      </c>
      <c r="N39" s="37">
        <v>45012</v>
      </c>
      <c r="O39" s="67" t="s">
        <v>73</v>
      </c>
    </row>
    <row r="40" spans="1:15" s="43" customFormat="1" ht="24.6" customHeight="1" x14ac:dyDescent="0.15">
      <c r="A40" s="31">
        <v>38</v>
      </c>
      <c r="B40" s="36">
        <v>29</v>
      </c>
      <c r="C40" s="41" t="s">
        <v>41</v>
      </c>
      <c r="D40" s="33">
        <v>27.7</v>
      </c>
      <c r="E40" s="33">
        <v>74</v>
      </c>
      <c r="F40" s="34">
        <f>(D40-E40)/E40</f>
        <v>-0.62567567567567561</v>
      </c>
      <c r="G40" s="35">
        <v>4</v>
      </c>
      <c r="H40" s="36">
        <v>1</v>
      </c>
      <c r="I40" s="36">
        <f t="shared" si="3"/>
        <v>4</v>
      </c>
      <c r="J40" s="35">
        <v>1</v>
      </c>
      <c r="K40" s="36">
        <v>15</v>
      </c>
      <c r="L40" s="33">
        <v>129734.08</v>
      </c>
      <c r="M40" s="35">
        <v>20353</v>
      </c>
      <c r="N40" s="37">
        <v>44981</v>
      </c>
      <c r="O40" s="67" t="s">
        <v>39</v>
      </c>
    </row>
    <row r="41" spans="1:15" s="51" customFormat="1" ht="24.6" customHeight="1" x14ac:dyDescent="0.2">
      <c r="B41" s="84"/>
      <c r="C41" s="77" t="s">
        <v>82</v>
      </c>
      <c r="D41" s="52">
        <f>SUBTOTAL(109,Table13245678[Pajamos 
(GBO)])</f>
        <v>180025.72</v>
      </c>
      <c r="E41" s="52" t="s">
        <v>132</v>
      </c>
      <c r="F41" s="81">
        <f>(D41-E41)/E41</f>
        <v>0.44722189173111243</v>
      </c>
      <c r="G41" s="78">
        <f>SUBTOTAL(109,Table13245678[Žiūrovų sk. 
(ADM)])</f>
        <v>27829</v>
      </c>
      <c r="H41" s="70"/>
      <c r="I41" s="70"/>
      <c r="J41" s="70"/>
      <c r="K41" s="70"/>
      <c r="L41" s="52"/>
      <c r="M41" s="78"/>
      <c r="N41" s="53"/>
      <c r="O41" s="79" t="s">
        <v>56</v>
      </c>
    </row>
    <row r="42" spans="1:15" hidden="1" x14ac:dyDescent="0.15">
      <c r="F42" s="4"/>
      <c r="L42" s="3"/>
    </row>
    <row r="43" spans="1:15" hidden="1" x14ac:dyDescent="0.15">
      <c r="F43" s="4"/>
      <c r="L43" s="3"/>
    </row>
    <row r="44" spans="1:15" hidden="1" x14ac:dyDescent="0.15">
      <c r="F44" s="4"/>
      <c r="L44" s="3"/>
    </row>
    <row r="45" spans="1:15" hidden="1" x14ac:dyDescent="0.15">
      <c r="F45" s="4"/>
      <c r="L45" s="3"/>
    </row>
    <row r="46" spans="1:15" hidden="1" x14ac:dyDescent="0.15">
      <c r="F46" s="4"/>
      <c r="L46" s="3"/>
    </row>
    <row r="47" spans="1:15" hidden="1" x14ac:dyDescent="0.15">
      <c r="F47" s="4"/>
      <c r="L47" s="3"/>
    </row>
    <row r="48" spans="1:15" hidden="1" x14ac:dyDescent="0.15">
      <c r="F48" s="4"/>
      <c r="L48" s="3"/>
    </row>
    <row r="49" spans="1:16383" hidden="1" x14ac:dyDescent="0.15">
      <c r="F49" s="4"/>
      <c r="L49" s="3"/>
    </row>
    <row r="50" spans="1:16383" hidden="1" x14ac:dyDescent="0.15">
      <c r="F50" s="4"/>
      <c r="L50" s="3"/>
    </row>
    <row r="51" spans="1:16383" hidden="1" x14ac:dyDescent="0.15">
      <c r="F51" s="4"/>
      <c r="L51" s="3"/>
    </row>
    <row r="52" spans="1:16383" hidden="1" x14ac:dyDescent="0.15">
      <c r="F52" s="4"/>
      <c r="L52" s="3"/>
    </row>
    <row r="53" spans="1:16383" hidden="1" x14ac:dyDescent="0.15">
      <c r="F53" s="4"/>
      <c r="L53" s="3"/>
    </row>
    <row r="54" spans="1:16383" hidden="1" x14ac:dyDescent="0.15">
      <c r="F54" s="4"/>
    </row>
    <row r="55" spans="1:16383" s="44" customFormat="1" hidden="1" x14ac:dyDescent="0.15">
      <c r="A55" s="1"/>
      <c r="B55" s="66"/>
      <c r="C55" s="1"/>
      <c r="D55" s="5"/>
      <c r="E55" s="5"/>
      <c r="F55" s="4"/>
      <c r="K55" s="66"/>
      <c r="L55" s="5"/>
      <c r="N55" s="12"/>
      <c r="O55" s="6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  <row r="56" spans="1:16383" s="44" customFormat="1" hidden="1" x14ac:dyDescent="0.15">
      <c r="A56" s="1"/>
      <c r="B56" s="66"/>
      <c r="C56" s="1"/>
      <c r="D56" s="5"/>
      <c r="E56" s="5"/>
      <c r="F56" s="4"/>
      <c r="K56" s="66"/>
      <c r="L56" s="5"/>
      <c r="N56" s="12"/>
      <c r="O56" s="6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</row>
    <row r="57" spans="1:16383" s="44" customFormat="1" hidden="1" x14ac:dyDescent="0.15">
      <c r="A57" s="1"/>
      <c r="B57" s="66"/>
      <c r="C57" s="1"/>
      <c r="D57" s="5"/>
      <c r="E57" s="5"/>
      <c r="F57" s="4"/>
      <c r="K57" s="66"/>
      <c r="L57" s="5"/>
      <c r="N57" s="12"/>
      <c r="O57" s="6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0E3E0-52A6-4C10-88DA-FF854B21111B}">
  <sheetPr>
    <pageSetUpPr fitToPage="1"/>
  </sheetPr>
  <dimension ref="A1:XFC55"/>
  <sheetViews>
    <sheetView zoomScale="60" zoomScaleNormal="60" workbookViewId="0">
      <selection activeCell="O20" sqref="O20"/>
    </sheetView>
  </sheetViews>
  <sheetFormatPr defaultColWidth="18.28515625" defaultRowHeight="11.25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117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1">
        <v>1</v>
      </c>
      <c r="C3" s="41" t="s">
        <v>114</v>
      </c>
      <c r="D3" s="33">
        <v>49925.68</v>
      </c>
      <c r="E3" s="33">
        <v>98617.71</v>
      </c>
      <c r="F3" s="34">
        <f>(D3-E3)/E3</f>
        <v>-0.49374529179393845</v>
      </c>
      <c r="G3" s="35">
        <v>6285</v>
      </c>
      <c r="H3" s="36">
        <v>184</v>
      </c>
      <c r="I3" s="36">
        <f t="shared" ref="I3:I9" si="0">G3/H3</f>
        <v>34.157608695652172</v>
      </c>
      <c r="J3" s="35">
        <v>26</v>
      </c>
      <c r="K3" s="36">
        <v>2</v>
      </c>
      <c r="L3" s="33">
        <v>210767.75</v>
      </c>
      <c r="M3" s="35">
        <v>27653</v>
      </c>
      <c r="N3" s="37">
        <v>45065</v>
      </c>
      <c r="O3" s="59" t="s">
        <v>71</v>
      </c>
    </row>
    <row r="4" spans="1:18" s="39" customFormat="1" ht="24.6" customHeight="1" x14ac:dyDescent="0.2">
      <c r="A4" s="31">
        <v>2</v>
      </c>
      <c r="B4" s="31">
        <v>2</v>
      </c>
      <c r="C4" s="41" t="s">
        <v>85</v>
      </c>
      <c r="D4" s="33">
        <v>16699.310000000001</v>
      </c>
      <c r="E4" s="33">
        <v>22011.5</v>
      </c>
      <c r="F4" s="34">
        <f>(D4-E4)/E4</f>
        <v>-0.24133702837153301</v>
      </c>
      <c r="G4" s="35">
        <v>2425</v>
      </c>
      <c r="H4" s="36">
        <v>81</v>
      </c>
      <c r="I4" s="36">
        <f t="shared" si="0"/>
        <v>29.938271604938272</v>
      </c>
      <c r="J4" s="35">
        <v>13</v>
      </c>
      <c r="K4" s="36">
        <v>4</v>
      </c>
      <c r="L4" s="33">
        <v>227948.23</v>
      </c>
      <c r="M4" s="35">
        <v>31135</v>
      </c>
      <c r="N4" s="37">
        <v>45051</v>
      </c>
      <c r="O4" s="59" t="s">
        <v>49</v>
      </c>
    </row>
    <row r="5" spans="1:18" s="39" customFormat="1" ht="24.95" customHeight="1" x14ac:dyDescent="0.2">
      <c r="A5" s="31">
        <v>3</v>
      </c>
      <c r="B5" s="34" t="s">
        <v>15</v>
      </c>
      <c r="C5" s="32" t="s">
        <v>126</v>
      </c>
      <c r="D5" s="33">
        <v>14729.69</v>
      </c>
      <c r="E5" s="33" t="s">
        <v>17</v>
      </c>
      <c r="F5" s="34" t="s">
        <v>17</v>
      </c>
      <c r="G5" s="35">
        <v>2585</v>
      </c>
      <c r="H5" s="36">
        <v>108</v>
      </c>
      <c r="I5" s="36">
        <f t="shared" si="0"/>
        <v>23.935185185185187</v>
      </c>
      <c r="J5" s="35">
        <v>16</v>
      </c>
      <c r="K5" s="36">
        <v>1</v>
      </c>
      <c r="L5" s="33">
        <v>15455.5</v>
      </c>
      <c r="M5" s="35">
        <v>2712</v>
      </c>
      <c r="N5" s="37">
        <v>45072</v>
      </c>
      <c r="O5" s="59" t="s">
        <v>49</v>
      </c>
      <c r="R5" s="31"/>
    </row>
    <row r="6" spans="1:18" s="39" customFormat="1" ht="24.95" customHeight="1" x14ac:dyDescent="0.2">
      <c r="A6" s="31">
        <v>4</v>
      </c>
      <c r="B6" s="31">
        <v>3</v>
      </c>
      <c r="C6" s="32" t="s">
        <v>19</v>
      </c>
      <c r="D6" s="33">
        <v>11789.34</v>
      </c>
      <c r="E6" s="33">
        <v>14039.55</v>
      </c>
      <c r="F6" s="34">
        <f>(D6-E6)/E6</f>
        <v>-0.16027650458882223</v>
      </c>
      <c r="G6" s="35">
        <v>2174</v>
      </c>
      <c r="H6" s="36">
        <v>78</v>
      </c>
      <c r="I6" s="36">
        <f t="shared" si="0"/>
        <v>27.871794871794872</v>
      </c>
      <c r="J6" s="35">
        <v>15</v>
      </c>
      <c r="K6" s="36">
        <v>8</v>
      </c>
      <c r="L6" s="33">
        <v>516454.52</v>
      </c>
      <c r="M6" s="35">
        <v>93400</v>
      </c>
      <c r="N6" s="37">
        <v>45023</v>
      </c>
      <c r="O6" s="59" t="s">
        <v>71</v>
      </c>
      <c r="R6" s="31"/>
    </row>
    <row r="7" spans="1:18" s="39" customFormat="1" ht="24.95" customHeight="1" x14ac:dyDescent="0.2">
      <c r="A7" s="31">
        <v>5</v>
      </c>
      <c r="B7" s="16" t="s">
        <v>15</v>
      </c>
      <c r="C7" s="32" t="s">
        <v>122</v>
      </c>
      <c r="D7" s="33">
        <v>6513.24</v>
      </c>
      <c r="E7" s="33" t="s">
        <v>17</v>
      </c>
      <c r="F7" s="34" t="s">
        <v>17</v>
      </c>
      <c r="G7" s="35">
        <v>964</v>
      </c>
      <c r="H7" s="36">
        <v>77</v>
      </c>
      <c r="I7" s="36">
        <f t="shared" si="0"/>
        <v>12.519480519480519</v>
      </c>
      <c r="J7" s="35">
        <v>16</v>
      </c>
      <c r="K7" s="36">
        <v>1</v>
      </c>
      <c r="L7" s="33">
        <v>6897.19</v>
      </c>
      <c r="M7" s="35">
        <v>1035</v>
      </c>
      <c r="N7" s="37">
        <v>45072</v>
      </c>
      <c r="O7" s="59" t="s">
        <v>25</v>
      </c>
      <c r="R7" s="31"/>
    </row>
    <row r="8" spans="1:18" s="39" customFormat="1" ht="24.95" customHeight="1" x14ac:dyDescent="0.2">
      <c r="A8" s="31">
        <v>6</v>
      </c>
      <c r="B8" s="31">
        <v>4</v>
      </c>
      <c r="C8" s="32" t="s">
        <v>16</v>
      </c>
      <c r="D8" s="33">
        <v>5597.69</v>
      </c>
      <c r="E8" s="33">
        <v>8359.4599999999991</v>
      </c>
      <c r="F8" s="34">
        <f>(D8-E8)/E8</f>
        <v>-0.33037660327341717</v>
      </c>
      <c r="G8" s="35">
        <v>1070</v>
      </c>
      <c r="H8" s="36">
        <v>76</v>
      </c>
      <c r="I8" s="36">
        <f t="shared" si="0"/>
        <v>14.078947368421053</v>
      </c>
      <c r="J8" s="35">
        <v>10</v>
      </c>
      <c r="K8" s="36">
        <v>6</v>
      </c>
      <c r="L8" s="33">
        <v>230243.59000000003</v>
      </c>
      <c r="M8" s="35">
        <v>45597</v>
      </c>
      <c r="N8" s="37">
        <v>45037</v>
      </c>
      <c r="O8" s="59" t="s">
        <v>18</v>
      </c>
      <c r="R8" s="31"/>
    </row>
    <row r="9" spans="1:18" s="83" customFormat="1" ht="24.95" customHeight="1" x14ac:dyDescent="0.2">
      <c r="A9" s="31">
        <v>7</v>
      </c>
      <c r="B9" s="31">
        <v>5</v>
      </c>
      <c r="C9" s="41" t="s">
        <v>106</v>
      </c>
      <c r="D9" s="33">
        <v>4137.33</v>
      </c>
      <c r="E9" s="33">
        <v>6213.17</v>
      </c>
      <c r="F9" s="34">
        <f>(D9-E9)/E9</f>
        <v>-0.3341032033567406</v>
      </c>
      <c r="G9" s="35">
        <v>856</v>
      </c>
      <c r="H9" s="36">
        <v>40</v>
      </c>
      <c r="I9" s="36">
        <f t="shared" si="0"/>
        <v>21.4</v>
      </c>
      <c r="J9" s="35">
        <v>13</v>
      </c>
      <c r="K9" s="36">
        <v>3</v>
      </c>
      <c r="L9" s="33">
        <v>22535.58</v>
      </c>
      <c r="M9" s="35">
        <v>4742</v>
      </c>
      <c r="N9" s="37">
        <v>45058</v>
      </c>
      <c r="O9" s="67" t="s">
        <v>25</v>
      </c>
      <c r="R9" s="82"/>
    </row>
    <row r="10" spans="1:18" s="39" customFormat="1" ht="24.95" customHeight="1" x14ac:dyDescent="0.2">
      <c r="A10" s="31">
        <v>8</v>
      </c>
      <c r="B10" s="16" t="s">
        <v>15</v>
      </c>
      <c r="C10" s="32" t="s">
        <v>125</v>
      </c>
      <c r="D10" s="33">
        <v>3744.81</v>
      </c>
      <c r="E10" s="33" t="s">
        <v>17</v>
      </c>
      <c r="F10" s="34" t="s">
        <v>17</v>
      </c>
      <c r="G10" s="35">
        <v>541</v>
      </c>
      <c r="H10" s="33" t="s">
        <v>17</v>
      </c>
      <c r="I10" s="36" t="s">
        <v>17</v>
      </c>
      <c r="J10" s="35">
        <v>9</v>
      </c>
      <c r="K10" s="36">
        <v>1</v>
      </c>
      <c r="L10" s="33">
        <v>3744.81</v>
      </c>
      <c r="M10" s="35">
        <v>541</v>
      </c>
      <c r="N10" s="37">
        <v>45072</v>
      </c>
      <c r="O10" s="59" t="s">
        <v>67</v>
      </c>
      <c r="R10" s="31"/>
    </row>
    <row r="11" spans="1:18" s="39" customFormat="1" ht="24.95" customHeight="1" x14ac:dyDescent="0.2">
      <c r="A11" s="31">
        <v>9</v>
      </c>
      <c r="B11" s="13" t="s">
        <v>15</v>
      </c>
      <c r="C11" s="41" t="s">
        <v>118</v>
      </c>
      <c r="D11" s="33">
        <v>2017.38</v>
      </c>
      <c r="E11" s="33" t="s">
        <v>17</v>
      </c>
      <c r="F11" s="34" t="s">
        <v>17</v>
      </c>
      <c r="G11" s="35">
        <v>485</v>
      </c>
      <c r="H11" s="36">
        <v>14</v>
      </c>
      <c r="I11" s="36">
        <f>G11/H11</f>
        <v>34.642857142857146</v>
      </c>
      <c r="J11" s="35">
        <v>5</v>
      </c>
      <c r="K11" s="36">
        <v>1</v>
      </c>
      <c r="L11" s="33">
        <v>2017.38</v>
      </c>
      <c r="M11" s="35">
        <v>485</v>
      </c>
      <c r="N11" s="37">
        <v>45072</v>
      </c>
      <c r="O11" s="67" t="s">
        <v>30</v>
      </c>
      <c r="R11" s="31"/>
    </row>
    <row r="12" spans="1:18" s="39" customFormat="1" ht="24.6" customHeight="1" x14ac:dyDescent="0.2">
      <c r="A12" s="31">
        <v>10</v>
      </c>
      <c r="B12" s="31">
        <v>9</v>
      </c>
      <c r="C12" s="41" t="s">
        <v>62</v>
      </c>
      <c r="D12" s="45">
        <v>1808.76</v>
      </c>
      <c r="E12" s="45">
        <v>1633.95</v>
      </c>
      <c r="F12" s="34">
        <f>(D12-E12)/E12</f>
        <v>0.10698613788671621</v>
      </c>
      <c r="G12" s="46">
        <v>351</v>
      </c>
      <c r="H12" s="36">
        <v>16</v>
      </c>
      <c r="I12" s="36">
        <f>G12/H12</f>
        <v>21.9375</v>
      </c>
      <c r="J12" s="35">
        <v>5</v>
      </c>
      <c r="K12" s="36">
        <v>5</v>
      </c>
      <c r="L12" s="45">
        <v>34346.679999999993</v>
      </c>
      <c r="M12" s="46">
        <v>6853</v>
      </c>
      <c r="N12" s="37">
        <v>45044</v>
      </c>
      <c r="O12" s="59" t="s">
        <v>33</v>
      </c>
      <c r="R12" s="31"/>
    </row>
    <row r="13" spans="1:18" s="39" customFormat="1" ht="24.95" customHeight="1" x14ac:dyDescent="0.2">
      <c r="A13" s="31">
        <v>11</v>
      </c>
      <c r="B13" s="31">
        <v>6</v>
      </c>
      <c r="C13" s="41" t="s">
        <v>105</v>
      </c>
      <c r="D13" s="33">
        <v>1086.74</v>
      </c>
      <c r="E13" s="33">
        <v>3893.43</v>
      </c>
      <c r="F13" s="34">
        <f>(D13-E13)/E13</f>
        <v>-0.72087850558504962</v>
      </c>
      <c r="G13" s="35">
        <v>153</v>
      </c>
      <c r="H13" s="36">
        <v>11</v>
      </c>
      <c r="I13" s="36">
        <f>G13/H13</f>
        <v>13.909090909090908</v>
      </c>
      <c r="J13" s="35">
        <v>4</v>
      </c>
      <c r="K13" s="36">
        <v>3</v>
      </c>
      <c r="L13" s="33">
        <v>22118.45</v>
      </c>
      <c r="M13" s="35">
        <v>3426</v>
      </c>
      <c r="N13" s="37">
        <v>45058</v>
      </c>
      <c r="O13" s="67" t="s">
        <v>25</v>
      </c>
      <c r="R13" s="31"/>
    </row>
    <row r="14" spans="1:18" s="39" customFormat="1" ht="24.95" customHeight="1" x14ac:dyDescent="0.2">
      <c r="A14" s="31">
        <v>12</v>
      </c>
      <c r="B14" s="31">
        <v>7</v>
      </c>
      <c r="C14" s="41" t="s">
        <v>115</v>
      </c>
      <c r="D14" s="33">
        <v>774.05</v>
      </c>
      <c r="E14" s="33">
        <v>2332.1</v>
      </c>
      <c r="F14" s="34">
        <f>(D14-E14)/E14</f>
        <v>-0.66808884696196558</v>
      </c>
      <c r="G14" s="35">
        <v>137</v>
      </c>
      <c r="H14" s="36">
        <v>15</v>
      </c>
      <c r="I14" s="36">
        <f>G14/H14</f>
        <v>9.1333333333333329</v>
      </c>
      <c r="J14" s="35">
        <v>6</v>
      </c>
      <c r="K14" s="36">
        <v>2</v>
      </c>
      <c r="L14" s="33">
        <v>4308.1499999999996</v>
      </c>
      <c r="M14" s="35">
        <v>778</v>
      </c>
      <c r="N14" s="37">
        <v>45065</v>
      </c>
      <c r="O14" s="59" t="s">
        <v>49</v>
      </c>
      <c r="R14" s="31"/>
    </row>
    <row r="15" spans="1:18" s="39" customFormat="1" ht="24.95" customHeight="1" x14ac:dyDescent="0.2">
      <c r="A15" s="31">
        <v>13</v>
      </c>
      <c r="B15" s="31">
        <v>17</v>
      </c>
      <c r="C15" s="32" t="s">
        <v>42</v>
      </c>
      <c r="D15" s="33">
        <v>634.29999999999995</v>
      </c>
      <c r="E15" s="33">
        <v>327.3</v>
      </c>
      <c r="F15" s="34">
        <f>(D15-E15)/E15</f>
        <v>0.93797739077299092</v>
      </c>
      <c r="G15" s="35">
        <v>88</v>
      </c>
      <c r="H15" s="36">
        <v>8</v>
      </c>
      <c r="I15" s="36">
        <f>G15/H15</f>
        <v>11</v>
      </c>
      <c r="J15" s="35">
        <v>1</v>
      </c>
      <c r="K15" s="36">
        <v>13</v>
      </c>
      <c r="L15" s="33">
        <v>233233.73000000004</v>
      </c>
      <c r="M15" s="35">
        <v>36554</v>
      </c>
      <c r="N15" s="37">
        <v>44988</v>
      </c>
      <c r="O15" s="59" t="s">
        <v>43</v>
      </c>
      <c r="R15" s="31"/>
    </row>
    <row r="16" spans="1:18" s="39" customFormat="1" ht="24.6" customHeight="1" x14ac:dyDescent="0.2">
      <c r="A16" s="31">
        <v>14</v>
      </c>
      <c r="B16" s="31">
        <v>15</v>
      </c>
      <c r="C16" s="41" t="s">
        <v>113</v>
      </c>
      <c r="D16" s="33">
        <v>604</v>
      </c>
      <c r="E16" s="33">
        <v>702.3</v>
      </c>
      <c r="F16" s="34">
        <f>(D16-E16)/E16</f>
        <v>-0.13996867435568838</v>
      </c>
      <c r="G16" s="35">
        <v>84</v>
      </c>
      <c r="H16" s="34" t="s">
        <v>17</v>
      </c>
      <c r="I16" s="36" t="s">
        <v>17</v>
      </c>
      <c r="J16" s="35">
        <v>2</v>
      </c>
      <c r="K16" s="36">
        <v>2</v>
      </c>
      <c r="L16" s="33">
        <v>1968.55</v>
      </c>
      <c r="M16" s="35">
        <v>321</v>
      </c>
      <c r="N16" s="37">
        <v>45065</v>
      </c>
      <c r="O16" s="67" t="s">
        <v>67</v>
      </c>
      <c r="R16" s="31"/>
    </row>
    <row r="17" spans="1:18" s="39" customFormat="1" ht="24.95" customHeight="1" x14ac:dyDescent="0.2">
      <c r="A17" s="31">
        <v>15</v>
      </c>
      <c r="B17" s="33" t="s">
        <v>15</v>
      </c>
      <c r="C17" s="41" t="s">
        <v>127</v>
      </c>
      <c r="D17" s="33">
        <v>561.47</v>
      </c>
      <c r="E17" s="33" t="s">
        <v>17</v>
      </c>
      <c r="F17" s="34" t="s">
        <v>17</v>
      </c>
      <c r="G17" s="35">
        <v>115</v>
      </c>
      <c r="H17" s="36">
        <v>16</v>
      </c>
      <c r="I17" s="36">
        <f>G17/H17</f>
        <v>7.1875</v>
      </c>
      <c r="J17" s="35">
        <v>5</v>
      </c>
      <c r="K17" s="36">
        <v>1</v>
      </c>
      <c r="L17" s="33">
        <v>561.47</v>
      </c>
      <c r="M17" s="35">
        <v>115</v>
      </c>
      <c r="N17" s="37">
        <v>45072</v>
      </c>
      <c r="O17" s="59" t="s">
        <v>89</v>
      </c>
      <c r="R17" s="31"/>
    </row>
    <row r="18" spans="1:18" s="39" customFormat="1" ht="24.75" customHeight="1" x14ac:dyDescent="0.2">
      <c r="A18" s="31">
        <v>16</v>
      </c>
      <c r="B18" s="31">
        <v>14</v>
      </c>
      <c r="C18" s="41" t="s">
        <v>20</v>
      </c>
      <c r="D18" s="45">
        <v>444.13</v>
      </c>
      <c r="E18" s="45">
        <v>747.73</v>
      </c>
      <c r="F18" s="34">
        <f>(D18-E18)/E18</f>
        <v>-0.40602891418025228</v>
      </c>
      <c r="G18" s="46">
        <v>65</v>
      </c>
      <c r="H18" s="36">
        <v>2</v>
      </c>
      <c r="I18" s="36">
        <f>G18/H18</f>
        <v>32.5</v>
      </c>
      <c r="J18" s="35">
        <v>1</v>
      </c>
      <c r="K18" s="36">
        <v>6</v>
      </c>
      <c r="L18" s="45">
        <v>73331.09</v>
      </c>
      <c r="M18" s="46">
        <v>10485</v>
      </c>
      <c r="N18" s="37">
        <v>45037</v>
      </c>
      <c r="O18" s="59" t="s">
        <v>21</v>
      </c>
      <c r="R18" s="31"/>
    </row>
    <row r="19" spans="1:18" s="43" customFormat="1" ht="24.6" customHeight="1" x14ac:dyDescent="0.15">
      <c r="A19" s="31">
        <v>17</v>
      </c>
      <c r="B19" s="31">
        <v>26</v>
      </c>
      <c r="C19" s="41" t="s">
        <v>61</v>
      </c>
      <c r="D19" s="45">
        <v>415.6</v>
      </c>
      <c r="E19" s="45">
        <v>73</v>
      </c>
      <c r="F19" s="34">
        <f>(D19-E19)/E19</f>
        <v>4.6931506849315072</v>
      </c>
      <c r="G19" s="46">
        <v>68</v>
      </c>
      <c r="H19" s="36">
        <v>4</v>
      </c>
      <c r="I19" s="36">
        <f>G19/H19</f>
        <v>17</v>
      </c>
      <c r="J19" s="35">
        <v>3</v>
      </c>
      <c r="K19" s="36">
        <v>5</v>
      </c>
      <c r="L19" s="45">
        <v>10239.070000000002</v>
      </c>
      <c r="M19" s="46">
        <v>1683</v>
      </c>
      <c r="N19" s="37">
        <v>45044</v>
      </c>
      <c r="O19" s="59" t="s">
        <v>33</v>
      </c>
    </row>
    <row r="20" spans="1:18" s="43" customFormat="1" ht="24.95" customHeight="1" x14ac:dyDescent="0.15">
      <c r="A20" s="31">
        <v>18</v>
      </c>
      <c r="B20" s="31">
        <v>11</v>
      </c>
      <c r="C20" s="41" t="s">
        <v>104</v>
      </c>
      <c r="D20" s="33">
        <v>402</v>
      </c>
      <c r="E20" s="33">
        <v>1190</v>
      </c>
      <c r="F20" s="34">
        <f>(D20-E20)/E20</f>
        <v>-0.66218487394957981</v>
      </c>
      <c r="G20" s="35">
        <v>59</v>
      </c>
      <c r="H20" s="35" t="s">
        <v>17</v>
      </c>
      <c r="I20" s="36" t="s">
        <v>17</v>
      </c>
      <c r="J20" s="35">
        <v>3</v>
      </c>
      <c r="K20" s="36">
        <v>3</v>
      </c>
      <c r="L20" s="33">
        <v>8318</v>
      </c>
      <c r="M20" s="35">
        <v>1388</v>
      </c>
      <c r="N20" s="37">
        <v>45058</v>
      </c>
      <c r="O20" s="67" t="s">
        <v>28</v>
      </c>
    </row>
    <row r="21" spans="1:18" s="43" customFormat="1" ht="24.95" customHeight="1" x14ac:dyDescent="0.15">
      <c r="A21" s="31">
        <v>19</v>
      </c>
      <c r="B21" s="31">
        <v>13</v>
      </c>
      <c r="C21" s="32" t="s">
        <v>22</v>
      </c>
      <c r="D21" s="33">
        <v>379.2</v>
      </c>
      <c r="E21" s="33">
        <v>878.3</v>
      </c>
      <c r="F21" s="34">
        <f>(D21-E21)/E21</f>
        <v>-0.56825685984287833</v>
      </c>
      <c r="G21" s="35">
        <v>52</v>
      </c>
      <c r="H21" s="36">
        <v>2</v>
      </c>
      <c r="I21" s="36">
        <f t="shared" ref="I21:I38" si="1">G21/H21</f>
        <v>26</v>
      </c>
      <c r="J21" s="35">
        <v>1</v>
      </c>
      <c r="K21" s="36">
        <v>8</v>
      </c>
      <c r="L21" s="33">
        <v>136441.45000000001</v>
      </c>
      <c r="M21" s="35">
        <v>19699</v>
      </c>
      <c r="N21" s="37">
        <v>45023</v>
      </c>
      <c r="O21" s="59" t="s">
        <v>23</v>
      </c>
    </row>
    <row r="22" spans="1:18" s="43" customFormat="1" ht="24.6" customHeight="1" x14ac:dyDescent="0.15">
      <c r="A22" s="31">
        <v>20</v>
      </c>
      <c r="B22" s="33" t="s">
        <v>17</v>
      </c>
      <c r="C22" s="41" t="s">
        <v>88</v>
      </c>
      <c r="D22" s="33">
        <v>331.88999999999987</v>
      </c>
      <c r="E22" s="33" t="s">
        <v>17</v>
      </c>
      <c r="F22" s="34" t="s">
        <v>17</v>
      </c>
      <c r="G22" s="35">
        <v>56</v>
      </c>
      <c r="H22" s="36">
        <v>4</v>
      </c>
      <c r="I22" s="36">
        <f t="shared" si="1"/>
        <v>14</v>
      </c>
      <c r="J22" s="35">
        <v>3</v>
      </c>
      <c r="K22" s="36">
        <v>4</v>
      </c>
      <c r="L22" s="33">
        <v>18037.7</v>
      </c>
      <c r="M22" s="35">
        <v>3970</v>
      </c>
      <c r="N22" s="37">
        <v>45051</v>
      </c>
      <c r="O22" s="59" t="s">
        <v>89</v>
      </c>
    </row>
    <row r="23" spans="1:18" s="43" customFormat="1" ht="24.6" customHeight="1" x14ac:dyDescent="0.15">
      <c r="A23" s="31">
        <v>21</v>
      </c>
      <c r="B23" s="34" t="s">
        <v>17</v>
      </c>
      <c r="C23" s="32" t="s">
        <v>123</v>
      </c>
      <c r="D23" s="33">
        <v>290</v>
      </c>
      <c r="E23" s="33" t="s">
        <v>17</v>
      </c>
      <c r="F23" s="34" t="s">
        <v>17</v>
      </c>
      <c r="G23" s="35">
        <v>58</v>
      </c>
      <c r="H23" s="36">
        <v>1</v>
      </c>
      <c r="I23" s="36">
        <f t="shared" si="1"/>
        <v>58</v>
      </c>
      <c r="J23" s="35">
        <v>1</v>
      </c>
      <c r="K23" s="34" t="s">
        <v>17</v>
      </c>
      <c r="L23" s="33">
        <v>2184</v>
      </c>
      <c r="M23" s="35">
        <v>539</v>
      </c>
      <c r="N23" s="37">
        <v>44316</v>
      </c>
      <c r="O23" s="59" t="s">
        <v>73</v>
      </c>
    </row>
    <row r="24" spans="1:18" s="43" customFormat="1" ht="24.6" customHeight="1" x14ac:dyDescent="0.15">
      <c r="A24" s="31">
        <v>22</v>
      </c>
      <c r="B24" s="31">
        <v>8</v>
      </c>
      <c r="C24" s="41" t="s">
        <v>107</v>
      </c>
      <c r="D24" s="33">
        <v>258.55</v>
      </c>
      <c r="E24" s="33">
        <v>1862.86</v>
      </c>
      <c r="F24" s="34">
        <f t="shared" ref="F24:F29" si="2">(D24-E24)/E24</f>
        <v>-0.8612080349570016</v>
      </c>
      <c r="G24" s="35">
        <v>35</v>
      </c>
      <c r="H24" s="36">
        <v>6</v>
      </c>
      <c r="I24" s="36">
        <f t="shared" si="1"/>
        <v>5.833333333333333</v>
      </c>
      <c r="J24" s="35">
        <v>3</v>
      </c>
      <c r="K24" s="36">
        <v>3</v>
      </c>
      <c r="L24" s="33">
        <v>21356.880000000001</v>
      </c>
      <c r="M24" s="35">
        <v>3141</v>
      </c>
      <c r="N24" s="37">
        <v>45058</v>
      </c>
      <c r="O24" s="67" t="s">
        <v>23</v>
      </c>
    </row>
    <row r="25" spans="1:18" s="43" customFormat="1" ht="24.6" customHeight="1" x14ac:dyDescent="0.15">
      <c r="A25" s="31">
        <v>23</v>
      </c>
      <c r="B25" s="31">
        <v>23</v>
      </c>
      <c r="C25" s="41" t="s">
        <v>72</v>
      </c>
      <c r="D25" s="33">
        <v>240.3</v>
      </c>
      <c r="E25" s="33">
        <v>84.1</v>
      </c>
      <c r="F25" s="34">
        <f t="shared" si="2"/>
        <v>1.8573127229488706</v>
      </c>
      <c r="G25" s="35">
        <v>40</v>
      </c>
      <c r="H25" s="36">
        <v>2</v>
      </c>
      <c r="I25" s="36">
        <f t="shared" si="1"/>
        <v>20</v>
      </c>
      <c r="J25" s="35">
        <v>2</v>
      </c>
      <c r="K25" s="36">
        <v>10</v>
      </c>
      <c r="L25" s="33">
        <v>55111</v>
      </c>
      <c r="M25" s="35">
        <v>7290</v>
      </c>
      <c r="N25" s="37">
        <v>45012</v>
      </c>
      <c r="O25" s="67" t="s">
        <v>73</v>
      </c>
    </row>
    <row r="26" spans="1:18" s="43" customFormat="1" ht="24.6" customHeight="1" x14ac:dyDescent="0.15">
      <c r="A26" s="31">
        <v>24</v>
      </c>
      <c r="B26" s="31">
        <v>18</v>
      </c>
      <c r="C26" s="41" t="s">
        <v>74</v>
      </c>
      <c r="D26" s="33">
        <v>200.5</v>
      </c>
      <c r="E26" s="33">
        <v>311.8</v>
      </c>
      <c r="F26" s="34">
        <f t="shared" si="2"/>
        <v>-0.35695958948043621</v>
      </c>
      <c r="G26" s="35">
        <v>52</v>
      </c>
      <c r="H26" s="36">
        <v>2</v>
      </c>
      <c r="I26" s="36">
        <f t="shared" si="1"/>
        <v>26</v>
      </c>
      <c r="J26" s="35">
        <v>2</v>
      </c>
      <c r="K26" s="36">
        <v>10</v>
      </c>
      <c r="L26" s="33">
        <v>45475</v>
      </c>
      <c r="M26" s="35">
        <v>5328</v>
      </c>
      <c r="N26" s="37">
        <v>45012</v>
      </c>
      <c r="O26" s="67" t="s">
        <v>73</v>
      </c>
    </row>
    <row r="27" spans="1:18" s="43" customFormat="1" ht="24.6" customHeight="1" x14ac:dyDescent="0.15">
      <c r="A27" s="31">
        <v>25</v>
      </c>
      <c r="B27" s="31">
        <v>29</v>
      </c>
      <c r="C27" s="41" t="s">
        <v>78</v>
      </c>
      <c r="D27" s="33">
        <v>186.6</v>
      </c>
      <c r="E27" s="33">
        <v>33.200000000000003</v>
      </c>
      <c r="F27" s="34">
        <f t="shared" si="2"/>
        <v>4.6204819277108422</v>
      </c>
      <c r="G27" s="35">
        <v>35</v>
      </c>
      <c r="H27" s="36">
        <v>2</v>
      </c>
      <c r="I27" s="36">
        <f t="shared" si="1"/>
        <v>17.5</v>
      </c>
      <c r="J27" s="35">
        <v>2</v>
      </c>
      <c r="K27" s="36">
        <v>10</v>
      </c>
      <c r="L27" s="33">
        <v>9644</v>
      </c>
      <c r="M27" s="35">
        <v>1753</v>
      </c>
      <c r="N27" s="37">
        <v>45012</v>
      </c>
      <c r="O27" s="67" t="s">
        <v>73</v>
      </c>
    </row>
    <row r="28" spans="1:18" s="43" customFormat="1" ht="24.6" customHeight="1" x14ac:dyDescent="0.15">
      <c r="A28" s="31">
        <v>26</v>
      </c>
      <c r="B28" s="31">
        <v>27</v>
      </c>
      <c r="C28" s="41" t="s">
        <v>92</v>
      </c>
      <c r="D28" s="33">
        <v>119</v>
      </c>
      <c r="E28" s="33">
        <v>67.400000000000006</v>
      </c>
      <c r="F28" s="34">
        <f t="shared" si="2"/>
        <v>0.76557863501483669</v>
      </c>
      <c r="G28" s="35">
        <v>18</v>
      </c>
      <c r="H28" s="36">
        <v>3</v>
      </c>
      <c r="I28" s="36">
        <f t="shared" si="1"/>
        <v>6</v>
      </c>
      <c r="J28" s="31">
        <v>3</v>
      </c>
      <c r="K28" s="36">
        <v>4</v>
      </c>
      <c r="L28" s="33">
        <v>3348</v>
      </c>
      <c r="M28" s="35">
        <v>590</v>
      </c>
      <c r="N28" s="37">
        <v>45051</v>
      </c>
      <c r="O28" s="38" t="s">
        <v>73</v>
      </c>
    </row>
    <row r="29" spans="1:18" s="43" customFormat="1" ht="24.6" customHeight="1" x14ac:dyDescent="0.15">
      <c r="A29" s="31">
        <v>27</v>
      </c>
      <c r="B29" s="31">
        <v>16</v>
      </c>
      <c r="C29" s="41" t="s">
        <v>112</v>
      </c>
      <c r="D29" s="33">
        <v>106.5</v>
      </c>
      <c r="E29" s="33">
        <v>590.70000000000005</v>
      </c>
      <c r="F29" s="34">
        <f t="shared" si="2"/>
        <v>-0.81970543423057396</v>
      </c>
      <c r="G29" s="35">
        <v>23</v>
      </c>
      <c r="H29" s="36">
        <v>3</v>
      </c>
      <c r="I29" s="36">
        <f t="shared" si="1"/>
        <v>7.666666666666667</v>
      </c>
      <c r="J29" s="35">
        <v>3</v>
      </c>
      <c r="K29" s="36">
        <v>2</v>
      </c>
      <c r="L29" s="33">
        <v>1009</v>
      </c>
      <c r="M29" s="35">
        <v>239</v>
      </c>
      <c r="N29" s="37">
        <v>45065</v>
      </c>
      <c r="O29" s="67" t="s">
        <v>73</v>
      </c>
    </row>
    <row r="30" spans="1:18" s="43" customFormat="1" ht="24.6" customHeight="1" x14ac:dyDescent="0.15">
      <c r="A30" s="31">
        <v>28</v>
      </c>
      <c r="B30" s="34" t="s">
        <v>17</v>
      </c>
      <c r="C30" s="41" t="s">
        <v>120</v>
      </c>
      <c r="D30" s="33">
        <v>97.7</v>
      </c>
      <c r="E30" s="33" t="s">
        <v>17</v>
      </c>
      <c r="F30" s="34" t="s">
        <v>17</v>
      </c>
      <c r="G30" s="35">
        <v>15</v>
      </c>
      <c r="H30" s="36">
        <v>1</v>
      </c>
      <c r="I30" s="36">
        <f t="shared" si="1"/>
        <v>15</v>
      </c>
      <c r="J30" s="35">
        <v>1</v>
      </c>
      <c r="K30" s="34" t="s">
        <v>17</v>
      </c>
      <c r="L30" s="33">
        <v>21503.09</v>
      </c>
      <c r="M30" s="35">
        <v>3440</v>
      </c>
      <c r="N30" s="37">
        <v>44939</v>
      </c>
      <c r="O30" s="67" t="s">
        <v>30</v>
      </c>
    </row>
    <row r="31" spans="1:18" s="43" customFormat="1" ht="24.6" customHeight="1" x14ac:dyDescent="0.15">
      <c r="A31" s="31">
        <v>29</v>
      </c>
      <c r="B31" s="31">
        <v>25</v>
      </c>
      <c r="C31" s="41" t="s">
        <v>41</v>
      </c>
      <c r="D31" s="33">
        <v>74</v>
      </c>
      <c r="E31" s="33">
        <v>73.8</v>
      </c>
      <c r="F31" s="34">
        <f>(D31-E31)/E31</f>
        <v>2.7100271002710413E-3</v>
      </c>
      <c r="G31" s="35">
        <v>10</v>
      </c>
      <c r="H31" s="36">
        <v>1</v>
      </c>
      <c r="I31" s="36">
        <f t="shared" si="1"/>
        <v>10</v>
      </c>
      <c r="J31" s="35">
        <v>1</v>
      </c>
      <c r="K31" s="36">
        <v>14</v>
      </c>
      <c r="L31" s="33">
        <v>129678.68</v>
      </c>
      <c r="M31" s="35">
        <v>20343</v>
      </c>
      <c r="N31" s="37">
        <v>44981</v>
      </c>
      <c r="O31" s="67" t="s">
        <v>39</v>
      </c>
    </row>
    <row r="32" spans="1:18" s="43" customFormat="1" ht="24.6" customHeight="1" x14ac:dyDescent="0.15">
      <c r="A32" s="31">
        <v>30</v>
      </c>
      <c r="B32" s="34" t="s">
        <v>17</v>
      </c>
      <c r="C32" s="32" t="s">
        <v>90</v>
      </c>
      <c r="D32" s="33">
        <v>74</v>
      </c>
      <c r="E32" s="33" t="s">
        <v>17</v>
      </c>
      <c r="F32" s="34" t="s">
        <v>17</v>
      </c>
      <c r="G32" s="35">
        <v>10</v>
      </c>
      <c r="H32" s="36">
        <v>1</v>
      </c>
      <c r="I32" s="36">
        <f t="shared" si="1"/>
        <v>10</v>
      </c>
      <c r="J32" s="35">
        <v>1</v>
      </c>
      <c r="K32" s="34" t="s">
        <v>17</v>
      </c>
      <c r="L32" s="33">
        <v>40120.080000000009</v>
      </c>
      <c r="M32" s="35">
        <v>6807</v>
      </c>
      <c r="N32" s="37">
        <v>44678</v>
      </c>
      <c r="O32" s="59" t="s">
        <v>33</v>
      </c>
    </row>
    <row r="33" spans="1:15" s="43" customFormat="1" ht="24.6" customHeight="1" x14ac:dyDescent="0.15">
      <c r="A33" s="31">
        <v>31</v>
      </c>
      <c r="B33" s="34" t="s">
        <v>17</v>
      </c>
      <c r="C33" s="41" t="s">
        <v>119</v>
      </c>
      <c r="D33" s="33">
        <v>65</v>
      </c>
      <c r="E33" s="33" t="s">
        <v>17</v>
      </c>
      <c r="F33" s="34" t="s">
        <v>17</v>
      </c>
      <c r="G33" s="35">
        <v>13</v>
      </c>
      <c r="H33" s="36">
        <v>1</v>
      </c>
      <c r="I33" s="36">
        <f t="shared" si="1"/>
        <v>13</v>
      </c>
      <c r="J33" s="35">
        <v>1</v>
      </c>
      <c r="K33" s="34" t="s">
        <v>17</v>
      </c>
      <c r="L33" s="33">
        <v>12268.21</v>
      </c>
      <c r="M33" s="35">
        <v>2500</v>
      </c>
      <c r="N33" s="37">
        <v>44673</v>
      </c>
      <c r="O33" s="67" t="s">
        <v>30</v>
      </c>
    </row>
    <row r="34" spans="1:15" s="43" customFormat="1" ht="24.6" customHeight="1" x14ac:dyDescent="0.15">
      <c r="A34" s="31">
        <v>32</v>
      </c>
      <c r="B34" s="34" t="s">
        <v>17</v>
      </c>
      <c r="C34" s="41" t="s">
        <v>121</v>
      </c>
      <c r="D34" s="33">
        <v>50.46</v>
      </c>
      <c r="E34" s="33" t="s">
        <v>17</v>
      </c>
      <c r="F34" s="34" t="s">
        <v>17</v>
      </c>
      <c r="G34" s="35">
        <v>11</v>
      </c>
      <c r="H34" s="36">
        <v>1</v>
      </c>
      <c r="I34" s="36">
        <f t="shared" si="1"/>
        <v>11</v>
      </c>
      <c r="J34" s="35">
        <v>1</v>
      </c>
      <c r="K34" s="34" t="s">
        <v>17</v>
      </c>
      <c r="L34" s="33">
        <v>4315.5600000000004</v>
      </c>
      <c r="M34" s="35">
        <v>1072</v>
      </c>
      <c r="N34" s="37">
        <v>43112</v>
      </c>
      <c r="O34" s="67" t="s">
        <v>30</v>
      </c>
    </row>
    <row r="35" spans="1:15" s="43" customFormat="1" ht="24.6" customHeight="1" x14ac:dyDescent="0.15">
      <c r="A35" s="31">
        <v>33</v>
      </c>
      <c r="B35" s="31">
        <v>22</v>
      </c>
      <c r="C35" s="32" t="s">
        <v>47</v>
      </c>
      <c r="D35" s="33">
        <v>12.9</v>
      </c>
      <c r="E35" s="33">
        <v>191</v>
      </c>
      <c r="F35" s="34">
        <f>(D35-E35)/E35</f>
        <v>-0.93246073298429322</v>
      </c>
      <c r="G35" s="35">
        <v>4</v>
      </c>
      <c r="H35" s="36">
        <v>1</v>
      </c>
      <c r="I35" s="36">
        <f t="shared" si="1"/>
        <v>4</v>
      </c>
      <c r="J35" s="35">
        <v>1</v>
      </c>
      <c r="K35" s="36">
        <v>15</v>
      </c>
      <c r="L35" s="33">
        <v>276510.73</v>
      </c>
      <c r="M35" s="35">
        <v>46423</v>
      </c>
      <c r="N35" s="37">
        <v>44973</v>
      </c>
      <c r="O35" s="59" t="s">
        <v>25</v>
      </c>
    </row>
    <row r="36" spans="1:15" s="43" customFormat="1" ht="24.6" customHeight="1" x14ac:dyDescent="0.15">
      <c r="A36" s="31">
        <v>34</v>
      </c>
      <c r="B36" s="13">
        <v>28</v>
      </c>
      <c r="C36" s="41" t="s">
        <v>68</v>
      </c>
      <c r="D36" s="33">
        <v>11</v>
      </c>
      <c r="E36" s="33">
        <v>39</v>
      </c>
      <c r="F36" s="34">
        <f>(D36-E36)/E36</f>
        <v>-0.71794871794871795</v>
      </c>
      <c r="G36" s="35">
        <v>2</v>
      </c>
      <c r="H36" s="36">
        <v>1</v>
      </c>
      <c r="I36" s="36">
        <f t="shared" si="1"/>
        <v>2</v>
      </c>
      <c r="J36" s="35">
        <v>1</v>
      </c>
      <c r="K36" s="36">
        <v>6</v>
      </c>
      <c r="L36" s="33">
        <v>2722.2000000000003</v>
      </c>
      <c r="M36" s="35">
        <v>492</v>
      </c>
      <c r="N36" s="37">
        <v>45043</v>
      </c>
      <c r="O36" s="67" t="s">
        <v>69</v>
      </c>
    </row>
    <row r="37" spans="1:15" s="43" customFormat="1" ht="24.6" customHeight="1" x14ac:dyDescent="0.15">
      <c r="A37" s="31">
        <v>35</v>
      </c>
      <c r="B37" s="34" t="s">
        <v>17</v>
      </c>
      <c r="C37" s="32" t="s">
        <v>26</v>
      </c>
      <c r="D37" s="33">
        <v>7.4</v>
      </c>
      <c r="E37" s="33" t="s">
        <v>17</v>
      </c>
      <c r="F37" s="34" t="s">
        <v>17</v>
      </c>
      <c r="G37" s="35">
        <v>1</v>
      </c>
      <c r="H37" s="36">
        <v>1</v>
      </c>
      <c r="I37" s="36">
        <f t="shared" si="1"/>
        <v>1</v>
      </c>
      <c r="J37" s="35">
        <v>1</v>
      </c>
      <c r="K37" s="34" t="s">
        <v>17</v>
      </c>
      <c r="L37" s="33">
        <v>52955.63</v>
      </c>
      <c r="M37" s="35">
        <v>8460</v>
      </c>
      <c r="N37" s="37">
        <v>45030</v>
      </c>
      <c r="O37" s="59" t="s">
        <v>21</v>
      </c>
    </row>
    <row r="38" spans="1:15" s="43" customFormat="1" ht="24.6" customHeight="1" x14ac:dyDescent="0.15">
      <c r="A38" s="31">
        <v>36</v>
      </c>
      <c r="B38" s="31">
        <v>32</v>
      </c>
      <c r="C38" s="41" t="s">
        <v>83</v>
      </c>
      <c r="D38" s="33">
        <v>3.5</v>
      </c>
      <c r="E38" s="33">
        <v>8</v>
      </c>
      <c r="F38" s="34">
        <f>(D38-E38)/E38</f>
        <v>-0.5625</v>
      </c>
      <c r="G38" s="35">
        <v>1</v>
      </c>
      <c r="H38" s="36">
        <v>1</v>
      </c>
      <c r="I38" s="36">
        <f t="shared" si="1"/>
        <v>1</v>
      </c>
      <c r="J38" s="35">
        <v>1</v>
      </c>
      <c r="K38" s="36">
        <v>4</v>
      </c>
      <c r="L38" s="33">
        <v>904.35</v>
      </c>
      <c r="M38" s="35">
        <v>163</v>
      </c>
      <c r="N38" s="37">
        <v>45052</v>
      </c>
      <c r="O38" s="67" t="s">
        <v>30</v>
      </c>
    </row>
    <row r="39" spans="1:15" s="51" customFormat="1" ht="24.6" customHeight="1" x14ac:dyDescent="0.2">
      <c r="B39" s="70"/>
      <c r="C39" s="77" t="s">
        <v>128</v>
      </c>
      <c r="D39" s="52">
        <f>SUBTOTAL(109,Table1324567[Pajamos 
(GBO)])</f>
        <v>124394.02000000003</v>
      </c>
      <c r="E39" s="52" t="s">
        <v>124</v>
      </c>
      <c r="F39" s="81">
        <f t="shared" ref="F39" si="3">(D39-E39)/E39</f>
        <v>-0.2586150215155017</v>
      </c>
      <c r="G39" s="78">
        <f>SUBTOTAL(109,Table1324567[Žiūrovų sk. 
(ADM)])</f>
        <v>18941</v>
      </c>
      <c r="H39" s="70"/>
      <c r="I39" s="70"/>
      <c r="J39" s="70"/>
      <c r="K39" s="70"/>
      <c r="L39" s="52"/>
      <c r="M39" s="78"/>
      <c r="N39" s="53"/>
      <c r="O39" s="79" t="s">
        <v>56</v>
      </c>
    </row>
    <row r="40" spans="1:15" hidden="1" x14ac:dyDescent="0.15">
      <c r="F40" s="4"/>
      <c r="L40" s="3"/>
    </row>
    <row r="41" spans="1:15" hidden="1" x14ac:dyDescent="0.15">
      <c r="F41" s="4"/>
      <c r="L41" s="3"/>
    </row>
    <row r="42" spans="1:15" hidden="1" x14ac:dyDescent="0.15">
      <c r="F42" s="4"/>
      <c r="L42" s="3"/>
    </row>
    <row r="43" spans="1:15" hidden="1" x14ac:dyDescent="0.15">
      <c r="F43" s="4"/>
      <c r="L43" s="3"/>
    </row>
    <row r="44" spans="1:15" hidden="1" x14ac:dyDescent="0.15">
      <c r="F44" s="4"/>
      <c r="L44" s="3"/>
    </row>
    <row r="45" spans="1:15" hidden="1" x14ac:dyDescent="0.15">
      <c r="F45" s="4"/>
      <c r="L45" s="3"/>
    </row>
    <row r="46" spans="1:15" hidden="1" x14ac:dyDescent="0.15">
      <c r="F46" s="4"/>
      <c r="L46" s="3"/>
    </row>
    <row r="47" spans="1:15" hidden="1" x14ac:dyDescent="0.15">
      <c r="F47" s="4"/>
      <c r="L47" s="3"/>
    </row>
    <row r="48" spans="1:15" hidden="1" x14ac:dyDescent="0.15">
      <c r="F48" s="4"/>
      <c r="L48" s="3"/>
    </row>
    <row r="49" spans="1:16383" hidden="1" x14ac:dyDescent="0.15">
      <c r="F49" s="4"/>
      <c r="L49" s="3"/>
    </row>
    <row r="50" spans="1:16383" hidden="1" x14ac:dyDescent="0.15">
      <c r="F50" s="4"/>
      <c r="L50" s="3"/>
    </row>
    <row r="51" spans="1:16383" hidden="1" x14ac:dyDescent="0.15">
      <c r="F51" s="4"/>
      <c r="L51" s="3"/>
    </row>
    <row r="52" spans="1:16383" hidden="1" x14ac:dyDescent="0.15">
      <c r="F52" s="4"/>
    </row>
    <row r="53" spans="1:16383" s="44" customFormat="1" hidden="1" x14ac:dyDescent="0.15">
      <c r="A53" s="1"/>
      <c r="B53" s="1"/>
      <c r="C53" s="1"/>
      <c r="D53" s="5"/>
      <c r="E53" s="5"/>
      <c r="F53" s="4"/>
      <c r="K53" s="66"/>
      <c r="L53" s="5"/>
      <c r="N53" s="12"/>
      <c r="O53" s="6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44" customFormat="1" hidden="1" x14ac:dyDescent="0.15">
      <c r="A54" s="1"/>
      <c r="B54" s="1"/>
      <c r="C54" s="1"/>
      <c r="D54" s="5"/>
      <c r="E54" s="5"/>
      <c r="F54" s="4"/>
      <c r="K54" s="66"/>
      <c r="L54" s="5"/>
      <c r="N54" s="12"/>
      <c r="O54" s="6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  <row r="55" spans="1:16383" s="44" customFormat="1" hidden="1" x14ac:dyDescent="0.15">
      <c r="A55" s="1"/>
      <c r="B55" s="1"/>
      <c r="C55" s="1"/>
      <c r="D55" s="5"/>
      <c r="E55" s="5"/>
      <c r="F55" s="4"/>
      <c r="K55" s="66"/>
      <c r="L55" s="5"/>
      <c r="N55" s="12"/>
      <c r="O55" s="6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93136-2211-454A-B174-CE4FCCEA350E}">
  <dimension ref="A1:XFC59"/>
  <sheetViews>
    <sheetView topLeftCell="A6" zoomScale="60" zoomScaleNormal="60" workbookViewId="0">
      <selection activeCell="A33" sqref="A33:XFD59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1.4257812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269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6" t="s">
        <v>15</v>
      </c>
      <c r="C3" s="32" t="s">
        <v>267</v>
      </c>
      <c r="D3" s="96">
        <v>33990.15</v>
      </c>
      <c r="E3" s="33" t="s">
        <v>17</v>
      </c>
      <c r="F3" s="34" t="s">
        <v>17</v>
      </c>
      <c r="G3" s="93">
        <v>5097</v>
      </c>
      <c r="H3" s="92">
        <v>103</v>
      </c>
      <c r="I3" s="92">
        <f>G3/H3</f>
        <v>49.485436893203882</v>
      </c>
      <c r="J3" s="92">
        <v>26</v>
      </c>
      <c r="K3" s="92">
        <v>1</v>
      </c>
      <c r="L3" s="96">
        <v>43425.64</v>
      </c>
      <c r="M3" s="93">
        <v>6348</v>
      </c>
      <c r="N3" s="37">
        <v>45191</v>
      </c>
      <c r="O3" s="59" t="s">
        <v>73</v>
      </c>
      <c r="P3" s="87"/>
    </row>
    <row r="4" spans="1:18" s="39" customFormat="1" ht="24.6" customHeight="1" x14ac:dyDescent="0.2">
      <c r="A4" s="31">
        <v>2</v>
      </c>
      <c r="B4" s="36">
        <v>1</v>
      </c>
      <c r="C4" s="32" t="s">
        <v>252</v>
      </c>
      <c r="D4" s="33">
        <v>31113.03</v>
      </c>
      <c r="E4" s="33">
        <v>39686.480000000003</v>
      </c>
      <c r="F4" s="34">
        <f>(D4-E4)/E4</f>
        <v>-0.21602948913584685</v>
      </c>
      <c r="G4" s="35">
        <v>3866</v>
      </c>
      <c r="H4" s="36">
        <v>71</v>
      </c>
      <c r="I4" s="92">
        <f>G4/H4</f>
        <v>54.450704225352112</v>
      </c>
      <c r="J4" s="36">
        <v>9</v>
      </c>
      <c r="K4" s="36">
        <v>3</v>
      </c>
      <c r="L4" s="33">
        <v>175604.07</v>
      </c>
      <c r="M4" s="35">
        <v>23135</v>
      </c>
      <c r="N4" s="37">
        <v>45177</v>
      </c>
      <c r="O4" s="67" t="s">
        <v>21</v>
      </c>
      <c r="P4" s="89"/>
    </row>
    <row r="5" spans="1:18" s="39" customFormat="1" ht="24.6" customHeight="1" x14ac:dyDescent="0.2">
      <c r="A5" s="31">
        <v>3</v>
      </c>
      <c r="B5" s="36">
        <v>2</v>
      </c>
      <c r="C5" s="32" t="s">
        <v>255</v>
      </c>
      <c r="D5" s="96">
        <v>28558.07</v>
      </c>
      <c r="E5" s="33">
        <v>28030.92</v>
      </c>
      <c r="F5" s="34">
        <f>(D5-E5)/E5</f>
        <v>1.8806018496717251E-2</v>
      </c>
      <c r="G5" s="93">
        <v>5357</v>
      </c>
      <c r="H5" s="92">
        <v>112</v>
      </c>
      <c r="I5" s="92">
        <f>G5/H5</f>
        <v>47.830357142857146</v>
      </c>
      <c r="J5" s="92">
        <v>13</v>
      </c>
      <c r="K5" s="92">
        <v>2</v>
      </c>
      <c r="L5" s="96">
        <v>68495.59</v>
      </c>
      <c r="M5" s="93">
        <v>13043</v>
      </c>
      <c r="N5" s="37">
        <v>45184</v>
      </c>
      <c r="O5" s="67" t="s">
        <v>25</v>
      </c>
      <c r="P5" s="89"/>
      <c r="R5" s="31"/>
    </row>
    <row r="6" spans="1:18" s="39" customFormat="1" ht="24.95" customHeight="1" x14ac:dyDescent="0.2">
      <c r="A6" s="31">
        <v>4</v>
      </c>
      <c r="B6" s="36" t="s">
        <v>15</v>
      </c>
      <c r="C6" s="32" t="s">
        <v>264</v>
      </c>
      <c r="D6" s="96">
        <v>20398.349999999999</v>
      </c>
      <c r="E6" s="34" t="s">
        <v>17</v>
      </c>
      <c r="F6" s="34" t="s">
        <v>17</v>
      </c>
      <c r="G6" s="93">
        <v>2617</v>
      </c>
      <c r="H6" s="92">
        <v>97</v>
      </c>
      <c r="I6" s="92">
        <f>G6/H6</f>
        <v>26.979381443298969</v>
      </c>
      <c r="J6" s="92">
        <v>14</v>
      </c>
      <c r="K6" s="92">
        <v>1</v>
      </c>
      <c r="L6" s="96">
        <v>21701.55</v>
      </c>
      <c r="M6" s="93">
        <v>2770</v>
      </c>
      <c r="N6" s="37">
        <v>45191</v>
      </c>
      <c r="O6" s="59" t="s">
        <v>219</v>
      </c>
      <c r="P6" s="87"/>
      <c r="R6" s="31"/>
    </row>
    <row r="7" spans="1:18" s="39" customFormat="1" ht="24.6" customHeight="1" x14ac:dyDescent="0.2">
      <c r="A7" s="31">
        <v>5</v>
      </c>
      <c r="B7" s="36">
        <v>3</v>
      </c>
      <c r="C7" s="32" t="s">
        <v>258</v>
      </c>
      <c r="D7" s="33">
        <v>13911</v>
      </c>
      <c r="E7" s="33">
        <v>27386</v>
      </c>
      <c r="F7" s="34">
        <f>(D7-E7)/E7</f>
        <v>-0.49203972832834297</v>
      </c>
      <c r="G7" s="35">
        <v>2293</v>
      </c>
      <c r="H7" s="34" t="s">
        <v>17</v>
      </c>
      <c r="I7" s="34" t="s">
        <v>17</v>
      </c>
      <c r="J7" s="36">
        <v>16</v>
      </c>
      <c r="K7" s="36">
        <v>2</v>
      </c>
      <c r="L7" s="33">
        <v>68396</v>
      </c>
      <c r="M7" s="35">
        <v>9747</v>
      </c>
      <c r="N7" s="37">
        <v>45184</v>
      </c>
      <c r="O7" s="59" t="s">
        <v>28</v>
      </c>
      <c r="P7" s="89"/>
      <c r="R7" s="31"/>
    </row>
    <row r="8" spans="1:18" s="39" customFormat="1" ht="24.95" customHeight="1" x14ac:dyDescent="0.2">
      <c r="A8" s="31">
        <v>6</v>
      </c>
      <c r="B8" s="36" t="s">
        <v>15</v>
      </c>
      <c r="C8" s="32" t="s">
        <v>262</v>
      </c>
      <c r="D8" s="96">
        <v>13806</v>
      </c>
      <c r="E8" s="34" t="s">
        <v>17</v>
      </c>
      <c r="F8" s="34" t="s">
        <v>17</v>
      </c>
      <c r="G8" s="93">
        <v>2661</v>
      </c>
      <c r="H8" s="34" t="s">
        <v>17</v>
      </c>
      <c r="I8" s="34" t="s">
        <v>17</v>
      </c>
      <c r="J8" s="92">
        <v>15</v>
      </c>
      <c r="K8" s="92">
        <v>1</v>
      </c>
      <c r="L8" s="96">
        <v>13806</v>
      </c>
      <c r="M8" s="93">
        <v>2661</v>
      </c>
      <c r="N8" s="37">
        <v>45191</v>
      </c>
      <c r="O8" s="59" t="s">
        <v>28</v>
      </c>
      <c r="P8" s="89"/>
      <c r="R8" s="31"/>
    </row>
    <row r="9" spans="1:18" s="39" customFormat="1" ht="24.95" customHeight="1" x14ac:dyDescent="0.2">
      <c r="A9" s="31">
        <v>7</v>
      </c>
      <c r="B9" s="36">
        <v>4</v>
      </c>
      <c r="C9" s="32" t="s">
        <v>259</v>
      </c>
      <c r="D9" s="96">
        <v>12382.28</v>
      </c>
      <c r="E9" s="33">
        <v>19790.8</v>
      </c>
      <c r="F9" s="34">
        <f>(D9-E9)/E9</f>
        <v>-0.37434161327485493</v>
      </c>
      <c r="G9" s="93">
        <v>1737</v>
      </c>
      <c r="H9" s="92">
        <v>58</v>
      </c>
      <c r="I9" s="92">
        <v>91</v>
      </c>
      <c r="J9" s="92">
        <v>12</v>
      </c>
      <c r="K9" s="92">
        <v>2</v>
      </c>
      <c r="L9" s="96">
        <v>40936.639999999999</v>
      </c>
      <c r="M9" s="93">
        <v>5824</v>
      </c>
      <c r="N9" s="37">
        <v>45184</v>
      </c>
      <c r="O9" s="59" t="s">
        <v>49</v>
      </c>
      <c r="P9" s="89"/>
      <c r="R9" s="31"/>
    </row>
    <row r="10" spans="1:18" s="39" customFormat="1" ht="24.95" customHeight="1" x14ac:dyDescent="0.2">
      <c r="A10" s="31">
        <v>8</v>
      </c>
      <c r="B10" s="36">
        <v>5</v>
      </c>
      <c r="C10" s="32" t="s">
        <v>193</v>
      </c>
      <c r="D10" s="96">
        <v>10747.01</v>
      </c>
      <c r="E10" s="33">
        <v>11358.14</v>
      </c>
      <c r="F10" s="34">
        <f>(D10-E10)/E10</f>
        <v>-5.3805464627130782E-2</v>
      </c>
      <c r="G10" s="93">
        <v>1446</v>
      </c>
      <c r="H10" s="92">
        <v>30</v>
      </c>
      <c r="I10" s="92">
        <f>G10/H10</f>
        <v>48.2</v>
      </c>
      <c r="J10" s="92">
        <v>7</v>
      </c>
      <c r="K10" s="92">
        <v>10</v>
      </c>
      <c r="L10" s="96">
        <v>1043334.96</v>
      </c>
      <c r="M10" s="93">
        <v>146348</v>
      </c>
      <c r="N10" s="37">
        <v>45128</v>
      </c>
      <c r="O10" s="59" t="s">
        <v>160</v>
      </c>
      <c r="P10" s="89"/>
      <c r="R10" s="31"/>
    </row>
    <row r="11" spans="1:18" s="39" customFormat="1" ht="24.95" customHeight="1" x14ac:dyDescent="0.2">
      <c r="A11" s="31">
        <v>9</v>
      </c>
      <c r="B11" s="36">
        <v>6</v>
      </c>
      <c r="C11" s="32" t="s">
        <v>236</v>
      </c>
      <c r="D11" s="96">
        <v>8794.6</v>
      </c>
      <c r="E11" s="33">
        <v>10143.82</v>
      </c>
      <c r="F11" s="34">
        <f>(D11-E11)/E11</f>
        <v>-0.13300906364663403</v>
      </c>
      <c r="G11" s="93">
        <v>1622</v>
      </c>
      <c r="H11" s="92">
        <v>53</v>
      </c>
      <c r="I11" s="92">
        <f>G11/H11</f>
        <v>30.60377358490566</v>
      </c>
      <c r="J11" s="92">
        <v>13</v>
      </c>
      <c r="K11" s="92">
        <v>5</v>
      </c>
      <c r="L11" s="96">
        <v>106038.6</v>
      </c>
      <c r="M11" s="93">
        <v>21374</v>
      </c>
      <c r="N11" s="37">
        <v>45163</v>
      </c>
      <c r="O11" s="59" t="s">
        <v>33</v>
      </c>
      <c r="P11" s="89"/>
      <c r="R11" s="31"/>
    </row>
    <row r="12" spans="1:18" s="43" customFormat="1" ht="24.6" customHeight="1" x14ac:dyDescent="0.2">
      <c r="A12" s="31">
        <v>10</v>
      </c>
      <c r="B12" s="36">
        <v>7</v>
      </c>
      <c r="C12" s="32" t="s">
        <v>216</v>
      </c>
      <c r="D12" s="96">
        <v>7983.66</v>
      </c>
      <c r="E12" s="33">
        <v>9139.4</v>
      </c>
      <c r="F12" s="34">
        <f>(D12-E12)/E12</f>
        <v>-0.12645687900737465</v>
      </c>
      <c r="G12" s="93">
        <v>1202</v>
      </c>
      <c r="H12" s="92">
        <v>21</v>
      </c>
      <c r="I12" s="92">
        <f>G12/H12</f>
        <v>57.238095238095241</v>
      </c>
      <c r="J12" s="92">
        <v>4</v>
      </c>
      <c r="K12" s="92">
        <v>7</v>
      </c>
      <c r="L12" s="96">
        <v>218228.35</v>
      </c>
      <c r="M12" s="93">
        <v>34504</v>
      </c>
      <c r="N12" s="37">
        <v>45149</v>
      </c>
      <c r="O12" s="59" t="s">
        <v>23</v>
      </c>
      <c r="P12" s="89"/>
    </row>
    <row r="13" spans="1:18" s="43" customFormat="1" ht="24.6" customHeight="1" x14ac:dyDescent="0.2">
      <c r="A13" s="31">
        <v>11</v>
      </c>
      <c r="B13" s="36" t="s">
        <v>15</v>
      </c>
      <c r="C13" s="32" t="s">
        <v>263</v>
      </c>
      <c r="D13" s="96">
        <v>6025.02</v>
      </c>
      <c r="E13" s="34" t="s">
        <v>17</v>
      </c>
      <c r="F13" s="34" t="s">
        <v>17</v>
      </c>
      <c r="G13" s="93">
        <v>896</v>
      </c>
      <c r="H13" s="92">
        <v>47</v>
      </c>
      <c r="I13" s="92">
        <f>G13/H13</f>
        <v>19.063829787234042</v>
      </c>
      <c r="J13" s="92">
        <v>11</v>
      </c>
      <c r="K13" s="92">
        <v>1</v>
      </c>
      <c r="L13" s="96">
        <v>6025.02</v>
      </c>
      <c r="M13" s="93">
        <v>896</v>
      </c>
      <c r="N13" s="37">
        <v>45191</v>
      </c>
      <c r="O13" s="59" t="s">
        <v>219</v>
      </c>
      <c r="P13" s="87"/>
    </row>
    <row r="14" spans="1:18" s="43" customFormat="1" ht="24.6" customHeight="1" x14ac:dyDescent="0.2">
      <c r="A14" s="31">
        <v>12</v>
      </c>
      <c r="B14" s="36">
        <v>8</v>
      </c>
      <c r="C14" s="32" t="s">
        <v>246</v>
      </c>
      <c r="D14" s="96">
        <v>4744.2700000000004</v>
      </c>
      <c r="E14" s="33">
        <v>7771.4</v>
      </c>
      <c r="F14" s="34">
        <f>(D14-E14)/E14</f>
        <v>-0.3895218364773399</v>
      </c>
      <c r="G14" s="93">
        <v>661</v>
      </c>
      <c r="H14" s="92">
        <v>17</v>
      </c>
      <c r="I14" s="92">
        <f>G14/H14</f>
        <v>38.882352941176471</v>
      </c>
      <c r="J14" s="92">
        <v>5</v>
      </c>
      <c r="K14" s="92">
        <v>4</v>
      </c>
      <c r="L14" s="96">
        <v>66934.600000000006</v>
      </c>
      <c r="M14" s="93">
        <v>9499</v>
      </c>
      <c r="N14" s="37">
        <v>45170</v>
      </c>
      <c r="O14" s="59" t="s">
        <v>23</v>
      </c>
      <c r="P14" s="89"/>
    </row>
    <row r="15" spans="1:18" s="43" customFormat="1" ht="24.6" customHeight="1" x14ac:dyDescent="0.15">
      <c r="A15" s="31">
        <v>13</v>
      </c>
      <c r="B15" s="36">
        <v>10</v>
      </c>
      <c r="C15" s="32" t="s">
        <v>154</v>
      </c>
      <c r="D15" s="96">
        <v>4177.47</v>
      </c>
      <c r="E15" s="33">
        <v>3847.56</v>
      </c>
      <c r="F15" s="34">
        <f>(D15-E15)/E15</f>
        <v>8.57452515360385E-2</v>
      </c>
      <c r="G15" s="93">
        <v>769</v>
      </c>
      <c r="H15" s="92">
        <v>14</v>
      </c>
      <c r="I15" s="92">
        <f>G15/H15</f>
        <v>54.928571428571431</v>
      </c>
      <c r="J15" s="92">
        <v>5</v>
      </c>
      <c r="K15" s="92">
        <v>15</v>
      </c>
      <c r="L15" s="96">
        <v>497300.69</v>
      </c>
      <c r="M15" s="93">
        <v>98150</v>
      </c>
      <c r="N15" s="37">
        <v>45093</v>
      </c>
      <c r="O15" s="59" t="s">
        <v>49</v>
      </c>
      <c r="P15" s="67"/>
    </row>
    <row r="16" spans="1:18" s="43" customFormat="1" ht="24.6" customHeight="1" x14ac:dyDescent="0.2">
      <c r="A16" s="31">
        <v>14</v>
      </c>
      <c r="B16" s="36">
        <v>9</v>
      </c>
      <c r="C16" s="32" t="s">
        <v>189</v>
      </c>
      <c r="D16" s="96">
        <v>3945.5</v>
      </c>
      <c r="E16" s="33">
        <v>6948.8</v>
      </c>
      <c r="F16" s="34">
        <f>(D16-E16)/E16</f>
        <v>-0.4322041215749482</v>
      </c>
      <c r="G16" s="93">
        <v>574</v>
      </c>
      <c r="H16" s="92">
        <v>16</v>
      </c>
      <c r="I16" s="92">
        <f>G16/H16</f>
        <v>35.875</v>
      </c>
      <c r="J16" s="92">
        <v>4</v>
      </c>
      <c r="K16" s="92">
        <v>10</v>
      </c>
      <c r="L16" s="96">
        <v>1150865.4099999999</v>
      </c>
      <c r="M16" s="93">
        <v>175034</v>
      </c>
      <c r="N16" s="37">
        <v>45128</v>
      </c>
      <c r="O16" s="59" t="s">
        <v>21</v>
      </c>
      <c r="P16" s="89"/>
    </row>
    <row r="17" spans="1:16" s="43" customFormat="1" ht="24.6" customHeight="1" x14ac:dyDescent="0.2">
      <c r="A17" s="31">
        <v>15</v>
      </c>
      <c r="B17" s="36">
        <v>12</v>
      </c>
      <c r="C17" s="32" t="s">
        <v>243</v>
      </c>
      <c r="D17" s="96">
        <v>1895</v>
      </c>
      <c r="E17" s="33">
        <v>3426</v>
      </c>
      <c r="F17" s="34">
        <f>(D17-E17)/E17</f>
        <v>-0.44687682428488035</v>
      </c>
      <c r="G17" s="93">
        <v>344</v>
      </c>
      <c r="H17" s="92" t="s">
        <v>17</v>
      </c>
      <c r="I17" s="92" t="s">
        <v>17</v>
      </c>
      <c r="J17" s="92">
        <v>4</v>
      </c>
      <c r="K17" s="92">
        <v>4</v>
      </c>
      <c r="L17" s="96">
        <v>38893</v>
      </c>
      <c r="M17" s="93">
        <v>8019</v>
      </c>
      <c r="N17" s="37">
        <v>45170</v>
      </c>
      <c r="O17" s="59" t="s">
        <v>28</v>
      </c>
      <c r="P17" s="89"/>
    </row>
    <row r="18" spans="1:16" s="43" customFormat="1" ht="24.6" customHeight="1" x14ac:dyDescent="0.2">
      <c r="A18" s="31">
        <v>16</v>
      </c>
      <c r="B18" s="36" t="s">
        <v>15</v>
      </c>
      <c r="C18" s="32" t="s">
        <v>266</v>
      </c>
      <c r="D18" s="96">
        <v>1710.15</v>
      </c>
      <c r="E18" s="34" t="s">
        <v>17</v>
      </c>
      <c r="F18" s="34" t="s">
        <v>17</v>
      </c>
      <c r="G18" s="93">
        <v>383</v>
      </c>
      <c r="H18" s="92">
        <v>14</v>
      </c>
      <c r="I18" s="92">
        <f>G18/H18</f>
        <v>27.357142857142858</v>
      </c>
      <c r="J18" s="92">
        <v>9</v>
      </c>
      <c r="K18" s="92">
        <v>1</v>
      </c>
      <c r="L18" s="96">
        <v>1710.15</v>
      </c>
      <c r="M18" s="93">
        <v>383</v>
      </c>
      <c r="N18" s="37">
        <v>45191</v>
      </c>
      <c r="O18" s="59" t="s">
        <v>30</v>
      </c>
      <c r="P18" s="89"/>
    </row>
    <row r="19" spans="1:16" s="43" customFormat="1" ht="24.6" customHeight="1" x14ac:dyDescent="0.2">
      <c r="A19" s="31">
        <v>17</v>
      </c>
      <c r="B19" s="36">
        <v>15</v>
      </c>
      <c r="C19" s="32" t="s">
        <v>233</v>
      </c>
      <c r="D19" s="96">
        <v>1446</v>
      </c>
      <c r="E19" s="33">
        <v>1638</v>
      </c>
      <c r="F19" s="34">
        <f>(D19-E19)/E19</f>
        <v>-0.11721611721611722</v>
      </c>
      <c r="G19" s="93">
        <v>199</v>
      </c>
      <c r="H19" s="92" t="s">
        <v>17</v>
      </c>
      <c r="I19" s="92" t="s">
        <v>17</v>
      </c>
      <c r="J19" s="92">
        <v>3</v>
      </c>
      <c r="K19" s="92">
        <v>5</v>
      </c>
      <c r="L19" s="96">
        <v>66968</v>
      </c>
      <c r="M19" s="93">
        <v>10437</v>
      </c>
      <c r="N19" s="37">
        <v>45163</v>
      </c>
      <c r="O19" s="59" t="s">
        <v>28</v>
      </c>
      <c r="P19" s="89"/>
    </row>
    <row r="20" spans="1:16" s="43" customFormat="1" ht="24.6" customHeight="1" x14ac:dyDescent="0.2">
      <c r="A20" s="31">
        <v>18</v>
      </c>
      <c r="B20" s="36">
        <v>14</v>
      </c>
      <c r="C20" s="32" t="s">
        <v>227</v>
      </c>
      <c r="D20" s="96">
        <v>954.5</v>
      </c>
      <c r="E20" s="33">
        <v>1656.44</v>
      </c>
      <c r="F20" s="34">
        <f>(D20-E20)/E20</f>
        <v>-0.42376421723696606</v>
      </c>
      <c r="G20" s="93">
        <v>198</v>
      </c>
      <c r="H20" s="92">
        <v>8</v>
      </c>
      <c r="I20" s="92">
        <f>G20/H20</f>
        <v>24.75</v>
      </c>
      <c r="J20" s="92">
        <v>6</v>
      </c>
      <c r="K20" s="92">
        <v>6</v>
      </c>
      <c r="L20" s="96">
        <v>39375.089999999997</v>
      </c>
      <c r="M20" s="93">
        <v>6817</v>
      </c>
      <c r="N20" s="37">
        <v>45156</v>
      </c>
      <c r="O20" s="59" t="s">
        <v>219</v>
      </c>
      <c r="P20" s="89"/>
    </row>
    <row r="21" spans="1:16" s="43" customFormat="1" ht="24.6" customHeight="1" x14ac:dyDescent="0.2">
      <c r="A21" s="31">
        <v>19</v>
      </c>
      <c r="B21" s="36">
        <v>16</v>
      </c>
      <c r="C21" s="32" t="s">
        <v>244</v>
      </c>
      <c r="D21" s="96">
        <v>774</v>
      </c>
      <c r="E21" s="33">
        <v>1251</v>
      </c>
      <c r="F21" s="34">
        <f>(D21-E21)/E21</f>
        <v>-0.38129496402877699</v>
      </c>
      <c r="G21" s="93">
        <v>108</v>
      </c>
      <c r="H21" s="92" t="s">
        <v>17</v>
      </c>
      <c r="I21" s="92" t="s">
        <v>17</v>
      </c>
      <c r="J21" s="92">
        <v>2</v>
      </c>
      <c r="K21" s="92">
        <v>4</v>
      </c>
      <c r="L21" s="96">
        <v>22851</v>
      </c>
      <c r="M21" s="93">
        <v>3424</v>
      </c>
      <c r="N21" s="37">
        <v>45170</v>
      </c>
      <c r="O21" s="59" t="s">
        <v>28</v>
      </c>
      <c r="P21" s="89"/>
    </row>
    <row r="22" spans="1:16" s="43" customFormat="1" ht="24.6" customHeight="1" x14ac:dyDescent="0.2">
      <c r="A22" s="31">
        <v>20</v>
      </c>
      <c r="B22" s="36">
        <v>13</v>
      </c>
      <c r="C22" s="32" t="s">
        <v>251</v>
      </c>
      <c r="D22" s="96">
        <v>668</v>
      </c>
      <c r="E22" s="33">
        <v>1768</v>
      </c>
      <c r="F22" s="34">
        <f>(D22-E22)/E22</f>
        <v>-0.62217194570135748</v>
      </c>
      <c r="G22" s="93">
        <v>118</v>
      </c>
      <c r="H22" s="34" t="s">
        <v>17</v>
      </c>
      <c r="I22" s="34" t="s">
        <v>17</v>
      </c>
      <c r="J22" s="92">
        <v>5</v>
      </c>
      <c r="K22" s="92">
        <v>3</v>
      </c>
      <c r="L22" s="96">
        <v>8171</v>
      </c>
      <c r="M22" s="93">
        <v>1474</v>
      </c>
      <c r="N22" s="37">
        <v>45177</v>
      </c>
      <c r="O22" s="59" t="s">
        <v>28</v>
      </c>
      <c r="P22" s="89"/>
    </row>
    <row r="23" spans="1:16" s="43" customFormat="1" ht="24.6" customHeight="1" x14ac:dyDescent="0.2">
      <c r="A23" s="31">
        <v>21</v>
      </c>
      <c r="B23" s="36">
        <v>11</v>
      </c>
      <c r="C23" s="32" t="s">
        <v>260</v>
      </c>
      <c r="D23" s="96">
        <v>389</v>
      </c>
      <c r="E23" s="33">
        <v>3457</v>
      </c>
      <c r="F23" s="34">
        <f>(D23-E23)/E23</f>
        <v>-0.8874746890367371</v>
      </c>
      <c r="G23" s="93">
        <v>53</v>
      </c>
      <c r="H23" s="92" t="s">
        <v>17</v>
      </c>
      <c r="I23" s="92" t="s">
        <v>17</v>
      </c>
      <c r="J23" s="92">
        <v>3</v>
      </c>
      <c r="K23" s="92">
        <v>2</v>
      </c>
      <c r="L23" s="96">
        <v>5724</v>
      </c>
      <c r="M23" s="93">
        <v>895</v>
      </c>
      <c r="N23" s="37">
        <v>45184</v>
      </c>
      <c r="O23" s="59" t="s">
        <v>261</v>
      </c>
      <c r="P23" s="89"/>
    </row>
    <row r="24" spans="1:16" s="43" customFormat="1" ht="24.6" customHeight="1" x14ac:dyDescent="0.2">
      <c r="A24" s="31">
        <v>22</v>
      </c>
      <c r="B24" s="108" t="s">
        <v>17</v>
      </c>
      <c r="C24" s="106" t="s">
        <v>112</v>
      </c>
      <c r="D24" s="107">
        <v>207</v>
      </c>
      <c r="E24" s="108" t="s">
        <v>17</v>
      </c>
      <c r="F24" s="109" t="s">
        <v>17</v>
      </c>
      <c r="G24" s="110">
        <v>43</v>
      </c>
      <c r="H24" s="111">
        <v>1</v>
      </c>
      <c r="I24" s="111">
        <v>43</v>
      </c>
      <c r="J24" s="111">
        <v>1</v>
      </c>
      <c r="K24" s="111" t="s">
        <v>17</v>
      </c>
      <c r="L24" s="107">
        <v>1750.03</v>
      </c>
      <c r="M24" s="110">
        <v>405</v>
      </c>
      <c r="N24" s="112">
        <v>45065</v>
      </c>
      <c r="O24" s="113" t="s">
        <v>73</v>
      </c>
      <c r="P24" s="87"/>
    </row>
    <row r="25" spans="1:16" s="43" customFormat="1" ht="24.6" customHeight="1" x14ac:dyDescent="0.2">
      <c r="A25" s="31">
        <v>23</v>
      </c>
      <c r="B25" s="36">
        <v>17</v>
      </c>
      <c r="C25" s="32" t="s">
        <v>232</v>
      </c>
      <c r="D25" s="96">
        <v>201.9</v>
      </c>
      <c r="E25" s="33">
        <v>551.20000000000005</v>
      </c>
      <c r="F25" s="34">
        <f>(D25-E25)/E25</f>
        <v>-0.63370827285921638</v>
      </c>
      <c r="G25" s="93">
        <v>47</v>
      </c>
      <c r="H25" s="92">
        <v>5</v>
      </c>
      <c r="I25" s="92">
        <f>G25/H25</f>
        <v>9.4</v>
      </c>
      <c r="J25" s="92">
        <v>2</v>
      </c>
      <c r="K25" s="92">
        <v>6</v>
      </c>
      <c r="L25" s="96">
        <v>6661.4</v>
      </c>
      <c r="M25" s="93">
        <v>1055</v>
      </c>
      <c r="N25" s="37">
        <v>45156</v>
      </c>
      <c r="O25" s="59" t="s">
        <v>30</v>
      </c>
      <c r="P25" s="89"/>
    </row>
    <row r="26" spans="1:16" s="43" customFormat="1" ht="24.6" customHeight="1" x14ac:dyDescent="0.2">
      <c r="A26" s="31">
        <v>24</v>
      </c>
      <c r="B26" s="36">
        <v>28</v>
      </c>
      <c r="C26" s="32" t="s">
        <v>130</v>
      </c>
      <c r="D26" s="96">
        <v>170.7</v>
      </c>
      <c r="E26" s="33">
        <v>81.400000000000006</v>
      </c>
      <c r="F26" s="34">
        <f>(D26-E26)/E26</f>
        <v>1.0970515970515968</v>
      </c>
      <c r="G26" s="93">
        <v>23</v>
      </c>
      <c r="H26" s="92">
        <v>1</v>
      </c>
      <c r="I26" s="92">
        <f>G26/H26</f>
        <v>23</v>
      </c>
      <c r="J26" s="92">
        <v>1</v>
      </c>
      <c r="K26" s="34" t="s">
        <v>17</v>
      </c>
      <c r="L26" s="96">
        <v>10456.200000000003</v>
      </c>
      <c r="M26" s="93">
        <v>1594</v>
      </c>
      <c r="N26" s="37">
        <v>45079</v>
      </c>
      <c r="O26" s="59" t="s">
        <v>33</v>
      </c>
      <c r="P26" s="89"/>
    </row>
    <row r="27" spans="1:16" s="43" customFormat="1" ht="24.6" customHeight="1" x14ac:dyDescent="0.2">
      <c r="A27" s="31">
        <v>25</v>
      </c>
      <c r="B27" s="36">
        <v>26</v>
      </c>
      <c r="C27" s="32" t="s">
        <v>115</v>
      </c>
      <c r="D27" s="96">
        <v>147</v>
      </c>
      <c r="E27" s="33">
        <v>104</v>
      </c>
      <c r="F27" s="34">
        <f>(D27-E27)/E27</f>
        <v>0.41346153846153844</v>
      </c>
      <c r="G27" s="93">
        <v>28</v>
      </c>
      <c r="H27" s="92">
        <v>1</v>
      </c>
      <c r="I27" s="92">
        <v>91</v>
      </c>
      <c r="J27" s="92">
        <v>1</v>
      </c>
      <c r="K27" s="34" t="s">
        <v>17</v>
      </c>
      <c r="L27" s="96">
        <v>9816.4</v>
      </c>
      <c r="M27" s="93">
        <v>1714</v>
      </c>
      <c r="N27" s="37">
        <v>45065</v>
      </c>
      <c r="O27" s="59" t="s">
        <v>49</v>
      </c>
      <c r="P27" s="89"/>
    </row>
    <row r="28" spans="1:16" s="43" customFormat="1" ht="24.6" customHeight="1" x14ac:dyDescent="0.2">
      <c r="A28" s="31">
        <v>26</v>
      </c>
      <c r="B28" s="108" t="s">
        <v>17</v>
      </c>
      <c r="C28" s="106" t="s">
        <v>78</v>
      </c>
      <c r="D28" s="107">
        <v>117</v>
      </c>
      <c r="E28" s="108" t="s">
        <v>17</v>
      </c>
      <c r="F28" s="109" t="s">
        <v>17</v>
      </c>
      <c r="G28" s="110">
        <v>21</v>
      </c>
      <c r="H28" s="111">
        <v>1</v>
      </c>
      <c r="I28" s="111">
        <v>21</v>
      </c>
      <c r="J28" s="111">
        <v>1</v>
      </c>
      <c r="K28" s="111" t="s">
        <v>17</v>
      </c>
      <c r="L28" s="107">
        <v>12113.72</v>
      </c>
      <c r="M28" s="110">
        <v>2153</v>
      </c>
      <c r="N28" s="112">
        <v>45012</v>
      </c>
      <c r="O28" s="113" t="s">
        <v>73</v>
      </c>
      <c r="P28" s="87"/>
    </row>
    <row r="29" spans="1:16" s="43" customFormat="1" ht="24.6" customHeight="1" x14ac:dyDescent="0.2">
      <c r="A29" s="31">
        <v>27</v>
      </c>
      <c r="B29" s="36" t="s">
        <v>15</v>
      </c>
      <c r="C29" s="32" t="s">
        <v>265</v>
      </c>
      <c r="D29" s="96">
        <v>60.1</v>
      </c>
      <c r="E29" s="34" t="s">
        <v>17</v>
      </c>
      <c r="F29" s="34" t="s">
        <v>17</v>
      </c>
      <c r="G29" s="93">
        <v>18</v>
      </c>
      <c r="H29" s="92">
        <v>6</v>
      </c>
      <c r="I29" s="92">
        <f>G29/H29</f>
        <v>3</v>
      </c>
      <c r="J29" s="92">
        <v>2</v>
      </c>
      <c r="K29" s="92">
        <v>1</v>
      </c>
      <c r="L29" s="96">
        <v>60.1</v>
      </c>
      <c r="M29" s="93">
        <v>18</v>
      </c>
      <c r="N29" s="37">
        <v>45191</v>
      </c>
      <c r="O29" s="59" t="s">
        <v>53</v>
      </c>
      <c r="P29" s="87"/>
    </row>
    <row r="30" spans="1:16" s="43" customFormat="1" ht="24.6" customHeight="1" x14ac:dyDescent="0.2">
      <c r="A30" s="31">
        <v>28</v>
      </c>
      <c r="B30" s="36">
        <v>31</v>
      </c>
      <c r="C30" s="32" t="s">
        <v>247</v>
      </c>
      <c r="D30" s="96">
        <v>15</v>
      </c>
      <c r="E30" s="33">
        <v>6</v>
      </c>
      <c r="F30" s="34">
        <f>(D30-E30)/E30</f>
        <v>1.5</v>
      </c>
      <c r="G30" s="93">
        <v>8</v>
      </c>
      <c r="H30" s="92">
        <v>1</v>
      </c>
      <c r="I30" s="92">
        <f>G30/H30</f>
        <v>8</v>
      </c>
      <c r="J30" s="92">
        <v>1</v>
      </c>
      <c r="K30" s="92">
        <v>4</v>
      </c>
      <c r="L30" s="96">
        <v>10484.25</v>
      </c>
      <c r="M30" s="93">
        <v>1744</v>
      </c>
      <c r="N30" s="37">
        <v>45170</v>
      </c>
      <c r="O30" s="59" t="s">
        <v>143</v>
      </c>
      <c r="P30" s="89"/>
    </row>
    <row r="31" spans="1:16" s="43" customFormat="1" ht="24.6" customHeight="1" x14ac:dyDescent="0.2">
      <c r="A31" s="31">
        <v>29</v>
      </c>
      <c r="B31" s="36">
        <v>27</v>
      </c>
      <c r="C31" s="32" t="s">
        <v>226</v>
      </c>
      <c r="D31" s="33">
        <v>10</v>
      </c>
      <c r="E31" s="33">
        <v>93</v>
      </c>
      <c r="F31" s="34">
        <f>(D31-E31)/E31</f>
        <v>-0.89247311827956988</v>
      </c>
      <c r="G31" s="35">
        <v>3</v>
      </c>
      <c r="H31" s="36">
        <v>1</v>
      </c>
      <c r="I31" s="92">
        <f>G31/H31</f>
        <v>3</v>
      </c>
      <c r="J31" s="36">
        <v>1</v>
      </c>
      <c r="K31" s="36">
        <v>6</v>
      </c>
      <c r="L31" s="33">
        <v>16245.83</v>
      </c>
      <c r="M31" s="93">
        <v>3545</v>
      </c>
      <c r="N31" s="37">
        <v>45156</v>
      </c>
      <c r="O31" s="67" t="s">
        <v>25</v>
      </c>
      <c r="P31" s="89"/>
    </row>
    <row r="32" spans="1:16" s="51" customFormat="1" ht="24" customHeight="1" x14ac:dyDescent="0.2">
      <c r="B32" s="84"/>
      <c r="C32" s="77" t="s">
        <v>271</v>
      </c>
      <c r="D32" s="52">
        <f>SUBTOTAL(109,Table132456789101112131415171618192021222324[Pajamos 
(GBO)])</f>
        <v>209341.76</v>
      </c>
      <c r="E32" s="52" t="s">
        <v>268</v>
      </c>
      <c r="F32" s="81">
        <f t="shared" ref="F32" si="0">(D32-E32)/E32</f>
        <v>0.1636627218605996</v>
      </c>
      <c r="G32" s="78">
        <f>SUBTOTAL(109,Table132456789101112131415171618192021222324[Žiūrovų sk. 
(ADM)])</f>
        <v>32392</v>
      </c>
      <c r="H32" s="70"/>
      <c r="I32" s="70"/>
      <c r="J32" s="70"/>
      <c r="K32" s="70"/>
      <c r="L32" s="52"/>
      <c r="M32" s="78"/>
      <c r="N32" s="53"/>
      <c r="O32" s="79" t="s">
        <v>56</v>
      </c>
      <c r="P32" s="85"/>
    </row>
    <row r="33" spans="1:16383" ht="11.25" hidden="1" x14ac:dyDescent="0.15">
      <c r="F33" s="4"/>
      <c r="L33" s="3"/>
    </row>
    <row r="34" spans="1:16383" ht="11.25" hidden="1" x14ac:dyDescent="0.15">
      <c r="F34" s="4"/>
      <c r="L34" s="3"/>
    </row>
    <row r="35" spans="1:16383" ht="11.25" hidden="1" x14ac:dyDescent="0.15">
      <c r="F35" s="4"/>
      <c r="L35" s="3"/>
    </row>
    <row r="36" spans="1:16383" ht="11.25" hidden="1" x14ac:dyDescent="0.15">
      <c r="F36" s="4"/>
      <c r="L36" s="3"/>
    </row>
    <row r="37" spans="1:16383" ht="11.25" hidden="1" x14ac:dyDescent="0.15">
      <c r="F37" s="4"/>
      <c r="L37" s="3"/>
    </row>
    <row r="38" spans="1:16383" ht="11.25" hidden="1" x14ac:dyDescent="0.15">
      <c r="F38" s="4"/>
      <c r="L38" s="3"/>
    </row>
    <row r="39" spans="1:16383" ht="11.25" hidden="1" x14ac:dyDescent="0.15">
      <c r="F39" s="4"/>
      <c r="L39" s="3"/>
    </row>
    <row r="40" spans="1:16383" ht="11.25" hidden="1" x14ac:dyDescent="0.15">
      <c r="F40" s="4"/>
      <c r="L40" s="3"/>
    </row>
    <row r="41" spans="1:16383" ht="11.25" hidden="1" x14ac:dyDescent="0.15">
      <c r="F41" s="4"/>
      <c r="L41" s="3"/>
    </row>
    <row r="42" spans="1:16383" ht="11.25" hidden="1" x14ac:dyDescent="0.15">
      <c r="F42" s="4"/>
      <c r="L42" s="3"/>
    </row>
    <row r="43" spans="1:16383" ht="11.25" hidden="1" x14ac:dyDescent="0.15">
      <c r="F43" s="4"/>
      <c r="L43" s="3"/>
    </row>
    <row r="44" spans="1:16383" ht="11.25" hidden="1" x14ac:dyDescent="0.15">
      <c r="F44" s="4"/>
      <c r="L44" s="3"/>
    </row>
    <row r="45" spans="1:16383" ht="11.25" hidden="1" x14ac:dyDescent="0.15">
      <c r="F45" s="4"/>
    </row>
    <row r="46" spans="1:16383" s="44" customFormat="1" ht="11.25" hidden="1" x14ac:dyDescent="0.15">
      <c r="A46" s="1"/>
      <c r="B46" s="66"/>
      <c r="C46" s="1"/>
      <c r="D46" s="5"/>
      <c r="E46" s="5"/>
      <c r="F46" s="4"/>
      <c r="K46" s="66"/>
      <c r="L46" s="5"/>
      <c r="N46" s="12"/>
      <c r="O46" s="6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spans="1:16383" s="44" customFormat="1" ht="11.25" hidden="1" x14ac:dyDescent="0.15">
      <c r="A47" s="1"/>
      <c r="B47" s="66"/>
      <c r="C47" s="1"/>
      <c r="D47" s="5"/>
      <c r="E47" s="5"/>
      <c r="F47" s="4"/>
      <c r="K47" s="66"/>
      <c r="L47" s="5"/>
      <c r="N47" s="12"/>
      <c r="O47" s="6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44" customFormat="1" ht="11.25" hidden="1" x14ac:dyDescent="0.15">
      <c r="A48" s="1"/>
      <c r="B48" s="66"/>
      <c r="C48" s="1"/>
      <c r="D48" s="5"/>
      <c r="E48" s="5"/>
      <c r="F48" s="4"/>
      <c r="K48" s="66"/>
      <c r="L48" s="5"/>
      <c r="N48" s="12"/>
      <c r="O48" s="6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4:15" ht="11.25" hidden="1" x14ac:dyDescent="0.15"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4:15" ht="11.25" hidden="1" x14ac:dyDescent="0.15"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4:15" ht="11.25" hidden="1" x14ac:dyDescent="0.15"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4:15" ht="11.25" hidden="1" x14ac:dyDescent="0.15"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4:15" ht="11.25" hidden="1" x14ac:dyDescent="0.15"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4:15" ht="11.25" hidden="1" x14ac:dyDescent="0.15"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4:15" ht="11.25" hidden="1" x14ac:dyDescent="0.15"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4:15" ht="11.25" hidden="1" x14ac:dyDescent="0.15"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4:15" ht="11.25" hidden="1" x14ac:dyDescent="0.15"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4:15" ht="11.25" hidden="1" x14ac:dyDescent="0.15"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4:15" ht="11.25" hidden="1" x14ac:dyDescent="0.15"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41998-B1EC-4529-9289-077878923718}">
  <sheetPr>
    <pageSetUpPr fitToPage="1"/>
  </sheetPr>
  <dimension ref="A1:XFC51"/>
  <sheetViews>
    <sheetView zoomScale="60" zoomScaleNormal="60" workbookViewId="0">
      <selection activeCell="F32" sqref="F32"/>
    </sheetView>
  </sheetViews>
  <sheetFormatPr defaultColWidth="18.28515625" defaultRowHeight="11.25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110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16" t="s">
        <v>15</v>
      </c>
      <c r="C3" s="41" t="s">
        <v>114</v>
      </c>
      <c r="D3" s="33">
        <v>98617.71</v>
      </c>
      <c r="E3" s="34" t="s">
        <v>17</v>
      </c>
      <c r="F3" s="34" t="s">
        <v>17</v>
      </c>
      <c r="G3" s="35">
        <v>12812</v>
      </c>
      <c r="H3" s="36">
        <v>230</v>
      </c>
      <c r="I3" s="36">
        <f t="shared" ref="I3:I12" si="0">G3/H3</f>
        <v>55.704347826086959</v>
      </c>
      <c r="J3" s="35">
        <v>27</v>
      </c>
      <c r="K3" s="36">
        <v>1</v>
      </c>
      <c r="L3" s="33">
        <v>126638.66</v>
      </c>
      <c r="M3" s="35">
        <v>16483</v>
      </c>
      <c r="N3" s="37">
        <v>45065</v>
      </c>
      <c r="O3" s="59" t="s">
        <v>71</v>
      </c>
    </row>
    <row r="4" spans="1:18" s="39" customFormat="1" ht="24.6" customHeight="1" x14ac:dyDescent="0.2">
      <c r="A4" s="31">
        <v>2</v>
      </c>
      <c r="B4" s="31">
        <v>1</v>
      </c>
      <c r="C4" s="41" t="s">
        <v>85</v>
      </c>
      <c r="D4" s="33">
        <v>22011.5</v>
      </c>
      <c r="E4" s="33">
        <v>38550.83</v>
      </c>
      <c r="F4" s="34">
        <f>(D4-E4)/E4</f>
        <v>-0.42902656051763349</v>
      </c>
      <c r="G4" s="35">
        <v>3278</v>
      </c>
      <c r="H4" s="36">
        <v>96</v>
      </c>
      <c r="I4" s="35">
        <f t="shared" si="0"/>
        <v>34.145833333333336</v>
      </c>
      <c r="J4" s="35">
        <v>16</v>
      </c>
      <c r="K4" s="36">
        <v>3</v>
      </c>
      <c r="L4" s="33">
        <v>201829.2</v>
      </c>
      <c r="M4" s="35">
        <v>27219</v>
      </c>
      <c r="N4" s="37">
        <v>45051</v>
      </c>
      <c r="O4" s="59" t="s">
        <v>49</v>
      </c>
    </row>
    <row r="5" spans="1:18" s="39" customFormat="1" ht="24.95" customHeight="1" x14ac:dyDescent="0.2">
      <c r="A5" s="31">
        <v>3</v>
      </c>
      <c r="B5" s="31">
        <v>2</v>
      </c>
      <c r="C5" s="32" t="s">
        <v>19</v>
      </c>
      <c r="D5" s="33">
        <v>14039.55</v>
      </c>
      <c r="E5" s="33">
        <v>12441.79</v>
      </c>
      <c r="F5" s="34">
        <f>(D5-E5)/E5</f>
        <v>0.12841882076453615</v>
      </c>
      <c r="G5" s="35">
        <v>2551</v>
      </c>
      <c r="H5" s="36">
        <v>85</v>
      </c>
      <c r="I5" s="35">
        <f t="shared" si="0"/>
        <v>30.011764705882353</v>
      </c>
      <c r="J5" s="35">
        <v>17</v>
      </c>
      <c r="K5" s="36">
        <v>7</v>
      </c>
      <c r="L5" s="33">
        <v>501267.37</v>
      </c>
      <c r="M5" s="35">
        <v>90515</v>
      </c>
      <c r="N5" s="37">
        <v>45023</v>
      </c>
      <c r="O5" s="59" t="s">
        <v>71</v>
      </c>
      <c r="R5" s="31"/>
    </row>
    <row r="6" spans="1:18" s="39" customFormat="1" ht="24.95" customHeight="1" x14ac:dyDescent="0.2">
      <c r="A6" s="31">
        <v>4</v>
      </c>
      <c r="B6" s="31">
        <v>3</v>
      </c>
      <c r="C6" s="32" t="s">
        <v>16</v>
      </c>
      <c r="D6" s="33">
        <v>8359.4599999999991</v>
      </c>
      <c r="E6" s="33">
        <v>10722.58</v>
      </c>
      <c r="F6" s="34">
        <f>(D6-E6)/E6</f>
        <v>-0.22038725754435973</v>
      </c>
      <c r="G6" s="35">
        <v>1605</v>
      </c>
      <c r="H6" s="36">
        <v>93</v>
      </c>
      <c r="I6" s="35">
        <f t="shared" si="0"/>
        <v>17.258064516129032</v>
      </c>
      <c r="J6" s="35">
        <v>9</v>
      </c>
      <c r="K6" s="36">
        <v>5</v>
      </c>
      <c r="L6" s="33">
        <v>222163.89</v>
      </c>
      <c r="M6" s="35">
        <v>44026</v>
      </c>
      <c r="N6" s="37">
        <v>45037</v>
      </c>
      <c r="O6" s="59" t="s">
        <v>18</v>
      </c>
      <c r="R6" s="31"/>
    </row>
    <row r="7" spans="1:18" s="39" customFormat="1" ht="24.95" customHeight="1" x14ac:dyDescent="0.2">
      <c r="A7" s="31">
        <v>5</v>
      </c>
      <c r="B7" s="31">
        <v>5</v>
      </c>
      <c r="C7" s="41" t="s">
        <v>106</v>
      </c>
      <c r="D7" s="33">
        <v>6213.17</v>
      </c>
      <c r="E7" s="33">
        <v>6415.46</v>
      </c>
      <c r="F7" s="34">
        <f>(D7-E7)/E7</f>
        <v>-3.1531643872769834E-2</v>
      </c>
      <c r="G7" s="35">
        <v>1262</v>
      </c>
      <c r="H7" s="36">
        <v>88</v>
      </c>
      <c r="I7" s="35">
        <f t="shared" si="0"/>
        <v>14.340909090909092</v>
      </c>
      <c r="J7" s="35">
        <v>15</v>
      </c>
      <c r="K7" s="36">
        <v>2</v>
      </c>
      <c r="L7" s="33">
        <v>15704.32</v>
      </c>
      <c r="M7" s="35">
        <v>3249</v>
      </c>
      <c r="N7" s="37">
        <v>45058</v>
      </c>
      <c r="O7" s="67" t="s">
        <v>25</v>
      </c>
      <c r="R7" s="31"/>
    </row>
    <row r="8" spans="1:18" s="39" customFormat="1" ht="24.95" customHeight="1" x14ac:dyDescent="0.2">
      <c r="A8" s="31">
        <v>6</v>
      </c>
      <c r="B8" s="31">
        <v>4</v>
      </c>
      <c r="C8" s="41" t="s">
        <v>105</v>
      </c>
      <c r="D8" s="33">
        <v>3893.43</v>
      </c>
      <c r="E8" s="33">
        <v>7338.16</v>
      </c>
      <c r="F8" s="34">
        <f>(D8-E8)/E8</f>
        <v>-0.46942694081350095</v>
      </c>
      <c r="G8" s="35">
        <v>567</v>
      </c>
      <c r="H8" s="36">
        <v>42</v>
      </c>
      <c r="I8" s="35">
        <f t="shared" si="0"/>
        <v>13.5</v>
      </c>
      <c r="J8" s="35">
        <v>10</v>
      </c>
      <c r="K8" s="36">
        <v>2</v>
      </c>
      <c r="L8" s="33">
        <v>18853.68</v>
      </c>
      <c r="M8" s="35">
        <v>2909</v>
      </c>
      <c r="N8" s="37">
        <v>45058</v>
      </c>
      <c r="O8" s="67" t="s">
        <v>25</v>
      </c>
      <c r="R8" s="31"/>
    </row>
    <row r="9" spans="1:18" s="39" customFormat="1" ht="24.95" customHeight="1" x14ac:dyDescent="0.2">
      <c r="A9" s="31">
        <v>7</v>
      </c>
      <c r="B9" s="16" t="s">
        <v>15</v>
      </c>
      <c r="C9" s="41" t="s">
        <v>115</v>
      </c>
      <c r="D9" s="33">
        <v>2332.1</v>
      </c>
      <c r="E9" s="34" t="s">
        <v>17</v>
      </c>
      <c r="F9" s="34" t="s">
        <v>17</v>
      </c>
      <c r="G9" s="35">
        <v>438</v>
      </c>
      <c r="H9" s="36">
        <v>42</v>
      </c>
      <c r="I9" s="36">
        <f t="shared" si="0"/>
        <v>10.428571428571429</v>
      </c>
      <c r="J9" s="35">
        <v>14</v>
      </c>
      <c r="K9" s="36">
        <v>1</v>
      </c>
      <c r="L9" s="33">
        <v>2332.1</v>
      </c>
      <c r="M9" s="35">
        <v>438</v>
      </c>
      <c r="N9" s="37">
        <v>45065</v>
      </c>
      <c r="O9" s="59" t="s">
        <v>49</v>
      </c>
      <c r="R9" s="31"/>
    </row>
    <row r="10" spans="1:18" s="39" customFormat="1" ht="24.95" customHeight="1" x14ac:dyDescent="0.2">
      <c r="A10" s="31">
        <v>8</v>
      </c>
      <c r="B10" s="31">
        <v>6</v>
      </c>
      <c r="C10" s="41" t="s">
        <v>107</v>
      </c>
      <c r="D10" s="33">
        <v>1862.86</v>
      </c>
      <c r="E10" s="33">
        <v>5018.8500000000004</v>
      </c>
      <c r="F10" s="34">
        <f t="shared" ref="F10:F16" si="1">(D10-E10)/E10</f>
        <v>-0.62882732099983074</v>
      </c>
      <c r="G10" s="35">
        <v>274</v>
      </c>
      <c r="H10" s="36">
        <v>30</v>
      </c>
      <c r="I10" s="35">
        <f t="shared" si="0"/>
        <v>9.1333333333333329</v>
      </c>
      <c r="J10" s="35">
        <v>8</v>
      </c>
      <c r="K10" s="36">
        <v>2</v>
      </c>
      <c r="L10" s="33">
        <v>19764.740000000002</v>
      </c>
      <c r="M10" s="35">
        <v>2862</v>
      </c>
      <c r="N10" s="37">
        <v>45058</v>
      </c>
      <c r="O10" s="67" t="s">
        <v>23</v>
      </c>
      <c r="R10" s="31"/>
    </row>
    <row r="11" spans="1:18" s="39" customFormat="1" ht="24.95" customHeight="1" x14ac:dyDescent="0.2">
      <c r="A11" s="31">
        <v>9</v>
      </c>
      <c r="B11" s="31">
        <v>9</v>
      </c>
      <c r="C11" s="41" t="s">
        <v>62</v>
      </c>
      <c r="D11" s="45">
        <v>1633.95</v>
      </c>
      <c r="E11" s="45">
        <v>2278.1</v>
      </c>
      <c r="F11" s="34">
        <f t="shared" si="1"/>
        <v>-0.28275756112549927</v>
      </c>
      <c r="G11" s="46">
        <v>333</v>
      </c>
      <c r="H11" s="36">
        <v>20</v>
      </c>
      <c r="I11" s="35">
        <f t="shared" si="0"/>
        <v>16.649999999999999</v>
      </c>
      <c r="J11" s="35">
        <v>9</v>
      </c>
      <c r="K11" s="36">
        <v>4</v>
      </c>
      <c r="L11" s="45">
        <v>31905.159999999996</v>
      </c>
      <c r="M11" s="46">
        <v>6330</v>
      </c>
      <c r="N11" s="37">
        <v>45044</v>
      </c>
      <c r="O11" s="59" t="s">
        <v>33</v>
      </c>
      <c r="R11" s="31"/>
    </row>
    <row r="12" spans="1:18" s="39" customFormat="1" ht="24.75" customHeight="1" x14ac:dyDescent="0.2">
      <c r="A12" s="31">
        <v>10</v>
      </c>
      <c r="B12" s="31">
        <v>10</v>
      </c>
      <c r="C12" s="41" t="s">
        <v>88</v>
      </c>
      <c r="D12" s="33">
        <v>1434.81</v>
      </c>
      <c r="E12" s="33">
        <v>1915.61</v>
      </c>
      <c r="F12" s="34">
        <f t="shared" si="1"/>
        <v>-0.25099054609236743</v>
      </c>
      <c r="G12" s="35">
        <v>304</v>
      </c>
      <c r="H12" s="36">
        <v>16</v>
      </c>
      <c r="I12" s="35">
        <f t="shared" si="0"/>
        <v>19</v>
      </c>
      <c r="J12" s="35">
        <v>4</v>
      </c>
      <c r="K12" s="36">
        <v>3</v>
      </c>
      <c r="L12" s="33">
        <v>17074.37</v>
      </c>
      <c r="M12" s="35">
        <v>3746</v>
      </c>
      <c r="N12" s="37">
        <v>45051</v>
      </c>
      <c r="O12" s="67" t="s">
        <v>89</v>
      </c>
      <c r="R12" s="31"/>
    </row>
    <row r="13" spans="1:18" s="39" customFormat="1" ht="24.6" customHeight="1" x14ac:dyDescent="0.2">
      <c r="A13" s="31">
        <v>11</v>
      </c>
      <c r="B13" s="31">
        <v>7</v>
      </c>
      <c r="C13" s="41" t="s">
        <v>104</v>
      </c>
      <c r="D13" s="33">
        <v>1190</v>
      </c>
      <c r="E13" s="33">
        <v>2973</v>
      </c>
      <c r="F13" s="34">
        <f t="shared" si="1"/>
        <v>-0.59973091153716784</v>
      </c>
      <c r="G13" s="35">
        <v>131</v>
      </c>
      <c r="H13" s="36" t="s">
        <v>17</v>
      </c>
      <c r="I13" s="35" t="s">
        <v>17</v>
      </c>
      <c r="J13" s="35">
        <v>9</v>
      </c>
      <c r="K13" s="36">
        <v>2</v>
      </c>
      <c r="L13" s="33">
        <v>7234</v>
      </c>
      <c r="M13" s="35">
        <v>1198</v>
      </c>
      <c r="N13" s="37">
        <v>45058</v>
      </c>
      <c r="O13" s="67" t="s">
        <v>28</v>
      </c>
      <c r="R13" s="31"/>
    </row>
    <row r="14" spans="1:18" s="39" customFormat="1" ht="24.95" customHeight="1" x14ac:dyDescent="0.2">
      <c r="A14" s="31">
        <v>12</v>
      </c>
      <c r="B14" s="31">
        <v>8</v>
      </c>
      <c r="C14" s="41" t="s">
        <v>63</v>
      </c>
      <c r="D14" s="33">
        <v>1118.58</v>
      </c>
      <c r="E14" s="33">
        <v>2584.12</v>
      </c>
      <c r="F14" s="34">
        <f t="shared" si="1"/>
        <v>-0.56713310527374894</v>
      </c>
      <c r="G14" s="35">
        <v>159</v>
      </c>
      <c r="H14" s="36">
        <v>16</v>
      </c>
      <c r="I14" s="35">
        <f>G14/H14</f>
        <v>9.9375</v>
      </c>
      <c r="J14" s="35">
        <v>4</v>
      </c>
      <c r="K14" s="36">
        <v>4</v>
      </c>
      <c r="L14" s="33">
        <v>46940.58</v>
      </c>
      <c r="M14" s="35">
        <v>6501</v>
      </c>
      <c r="N14" s="37">
        <v>45044</v>
      </c>
      <c r="O14" s="67" t="s">
        <v>25</v>
      </c>
      <c r="R14" s="31"/>
    </row>
    <row r="15" spans="1:18" s="39" customFormat="1" ht="24.95" customHeight="1" x14ac:dyDescent="0.2">
      <c r="A15" s="31">
        <v>13</v>
      </c>
      <c r="B15" s="31">
        <v>12</v>
      </c>
      <c r="C15" s="32" t="s">
        <v>22</v>
      </c>
      <c r="D15" s="33">
        <v>878.3</v>
      </c>
      <c r="E15" s="33">
        <v>1306.07</v>
      </c>
      <c r="F15" s="34">
        <f t="shared" si="1"/>
        <v>-0.32752455840804856</v>
      </c>
      <c r="G15" s="35">
        <v>128</v>
      </c>
      <c r="H15" s="36">
        <v>5</v>
      </c>
      <c r="I15" s="35">
        <f>G15/H15</f>
        <v>25.6</v>
      </c>
      <c r="J15" s="35">
        <v>3</v>
      </c>
      <c r="K15" s="36">
        <v>7</v>
      </c>
      <c r="L15" s="33">
        <v>135739.35</v>
      </c>
      <c r="M15" s="35">
        <v>19599</v>
      </c>
      <c r="N15" s="37">
        <v>45023</v>
      </c>
      <c r="O15" s="59" t="s">
        <v>23</v>
      </c>
      <c r="R15" s="31"/>
    </row>
    <row r="16" spans="1:18" s="39" customFormat="1" ht="24.95" customHeight="1" x14ac:dyDescent="0.2">
      <c r="A16" s="31">
        <v>14</v>
      </c>
      <c r="B16" s="31">
        <v>11</v>
      </c>
      <c r="C16" s="41" t="s">
        <v>20</v>
      </c>
      <c r="D16" s="45">
        <v>747.73</v>
      </c>
      <c r="E16" s="45">
        <v>1306.07</v>
      </c>
      <c r="F16" s="34">
        <f t="shared" si="1"/>
        <v>-0.4274962291454516</v>
      </c>
      <c r="G16" s="46">
        <v>101</v>
      </c>
      <c r="H16" s="36">
        <v>6</v>
      </c>
      <c r="I16" s="35">
        <f>G16/H16</f>
        <v>16.833333333333332</v>
      </c>
      <c r="J16" s="35">
        <v>3</v>
      </c>
      <c r="K16" s="36">
        <v>5</v>
      </c>
      <c r="L16" s="45">
        <v>72352.649999999994</v>
      </c>
      <c r="M16" s="46">
        <v>10343</v>
      </c>
      <c r="N16" s="37">
        <v>45037</v>
      </c>
      <c r="O16" s="59" t="s">
        <v>21</v>
      </c>
      <c r="R16" s="31"/>
    </row>
    <row r="17" spans="1:18" s="39" customFormat="1" ht="24.95" customHeight="1" x14ac:dyDescent="0.2">
      <c r="A17" s="31">
        <v>15</v>
      </c>
      <c r="B17" s="16" t="s">
        <v>15</v>
      </c>
      <c r="C17" s="41" t="s">
        <v>113</v>
      </c>
      <c r="D17" s="33">
        <v>702.3</v>
      </c>
      <c r="E17" s="34" t="s">
        <v>17</v>
      </c>
      <c r="F17" s="34" t="s">
        <v>17</v>
      </c>
      <c r="G17" s="35">
        <v>118</v>
      </c>
      <c r="H17" s="36" t="s">
        <v>17</v>
      </c>
      <c r="I17" s="34" t="s">
        <v>17</v>
      </c>
      <c r="J17" s="35">
        <v>4</v>
      </c>
      <c r="K17" s="36">
        <v>1</v>
      </c>
      <c r="L17" s="33">
        <v>702.3</v>
      </c>
      <c r="M17" s="35">
        <v>118</v>
      </c>
      <c r="N17" s="37">
        <v>45065</v>
      </c>
      <c r="O17" s="67" t="s">
        <v>67</v>
      </c>
      <c r="R17" s="31"/>
    </row>
    <row r="18" spans="1:18" s="39" customFormat="1" ht="24.6" customHeight="1" x14ac:dyDescent="0.2">
      <c r="A18" s="31">
        <v>16</v>
      </c>
      <c r="B18" s="16" t="s">
        <v>15</v>
      </c>
      <c r="C18" s="41" t="s">
        <v>112</v>
      </c>
      <c r="D18" s="33">
        <v>590.70000000000005</v>
      </c>
      <c r="E18" s="34" t="s">
        <v>17</v>
      </c>
      <c r="F18" s="34" t="s">
        <v>17</v>
      </c>
      <c r="G18" s="35">
        <v>134</v>
      </c>
      <c r="H18" s="36">
        <v>21</v>
      </c>
      <c r="I18" s="35">
        <f t="shared" ref="I18:I31" si="2">G18/H18</f>
        <v>6.3809523809523814</v>
      </c>
      <c r="J18" s="35">
        <v>9</v>
      </c>
      <c r="K18" s="36">
        <v>1</v>
      </c>
      <c r="L18" s="33">
        <v>590.70000000000005</v>
      </c>
      <c r="M18" s="35">
        <v>134</v>
      </c>
      <c r="N18" s="37">
        <v>45065</v>
      </c>
      <c r="O18" s="67" t="s">
        <v>73</v>
      </c>
      <c r="R18" s="31"/>
    </row>
    <row r="19" spans="1:18" s="39" customFormat="1" ht="24.95" customHeight="1" x14ac:dyDescent="0.2">
      <c r="A19" s="31">
        <v>17</v>
      </c>
      <c r="B19" s="31">
        <v>15</v>
      </c>
      <c r="C19" s="32" t="s">
        <v>42</v>
      </c>
      <c r="D19" s="33">
        <v>327.3</v>
      </c>
      <c r="E19" s="33">
        <v>350.7</v>
      </c>
      <c r="F19" s="34">
        <f t="shared" ref="F19:F25" si="3">(D19-E19)/E19</f>
        <v>-6.6723695466210375E-2</v>
      </c>
      <c r="G19" s="35">
        <v>46</v>
      </c>
      <c r="H19" s="36">
        <v>5</v>
      </c>
      <c r="I19" s="35">
        <f t="shared" si="2"/>
        <v>9.1999999999999993</v>
      </c>
      <c r="J19" s="35">
        <v>1</v>
      </c>
      <c r="K19" s="36">
        <v>12</v>
      </c>
      <c r="L19" s="33">
        <v>232599.43000000005</v>
      </c>
      <c r="M19" s="35">
        <v>36466</v>
      </c>
      <c r="N19" s="37">
        <v>44988</v>
      </c>
      <c r="O19" s="59" t="s">
        <v>43</v>
      </c>
      <c r="R19" s="31"/>
    </row>
    <row r="20" spans="1:18" s="39" customFormat="1" ht="24.75" customHeight="1" x14ac:dyDescent="0.2">
      <c r="A20" s="31">
        <v>18</v>
      </c>
      <c r="B20" s="31">
        <v>18</v>
      </c>
      <c r="C20" s="41" t="s">
        <v>74</v>
      </c>
      <c r="D20" s="33">
        <v>311.8</v>
      </c>
      <c r="E20" s="33">
        <v>221</v>
      </c>
      <c r="F20" s="34">
        <f t="shared" si="3"/>
        <v>0.41085972850678737</v>
      </c>
      <c r="G20" s="35">
        <v>66</v>
      </c>
      <c r="H20" s="36">
        <v>3</v>
      </c>
      <c r="I20" s="35">
        <f t="shared" si="2"/>
        <v>22</v>
      </c>
      <c r="J20" s="35">
        <v>2</v>
      </c>
      <c r="K20" s="36">
        <v>9</v>
      </c>
      <c r="L20" s="33">
        <v>45023</v>
      </c>
      <c r="M20" s="35">
        <v>5240</v>
      </c>
      <c r="N20" s="37">
        <v>45012</v>
      </c>
      <c r="O20" s="67" t="s">
        <v>73</v>
      </c>
      <c r="R20" s="31"/>
    </row>
    <row r="21" spans="1:18" s="43" customFormat="1" ht="24.75" customHeight="1" x14ac:dyDescent="0.15">
      <c r="A21" s="31">
        <v>19</v>
      </c>
      <c r="B21" s="31">
        <v>14</v>
      </c>
      <c r="C21" s="41" t="s">
        <v>86</v>
      </c>
      <c r="D21" s="33">
        <v>302</v>
      </c>
      <c r="E21" s="33">
        <v>453</v>
      </c>
      <c r="F21" s="34">
        <f t="shared" si="3"/>
        <v>-0.33333333333333331</v>
      </c>
      <c r="G21" s="35">
        <v>69</v>
      </c>
      <c r="H21" s="36">
        <v>2</v>
      </c>
      <c r="I21" s="35">
        <f t="shared" si="2"/>
        <v>34.5</v>
      </c>
      <c r="J21" s="35">
        <v>2</v>
      </c>
      <c r="K21" s="36">
        <v>4</v>
      </c>
      <c r="L21" s="33">
        <v>15161.27</v>
      </c>
      <c r="M21" s="35">
        <v>2385</v>
      </c>
      <c r="N21" s="37">
        <v>45047</v>
      </c>
      <c r="O21" s="67" t="s">
        <v>71</v>
      </c>
    </row>
    <row r="22" spans="1:18" s="43" customFormat="1" ht="24.95" customHeight="1" x14ac:dyDescent="0.15">
      <c r="A22" s="31">
        <v>20</v>
      </c>
      <c r="B22" s="31">
        <v>13</v>
      </c>
      <c r="C22" s="32" t="s">
        <v>24</v>
      </c>
      <c r="D22" s="33">
        <v>289.14</v>
      </c>
      <c r="E22" s="33">
        <v>746.15</v>
      </c>
      <c r="F22" s="34">
        <f t="shared" si="3"/>
        <v>-0.61249078603497953</v>
      </c>
      <c r="G22" s="35">
        <v>36</v>
      </c>
      <c r="H22" s="36">
        <v>3</v>
      </c>
      <c r="I22" s="35">
        <f t="shared" si="2"/>
        <v>12</v>
      </c>
      <c r="J22" s="35">
        <v>1</v>
      </c>
      <c r="K22" s="36">
        <v>9</v>
      </c>
      <c r="L22" s="33">
        <v>322527.5</v>
      </c>
      <c r="M22" s="35">
        <v>44242</v>
      </c>
      <c r="N22" s="37">
        <v>45009</v>
      </c>
      <c r="O22" s="59" t="s">
        <v>25</v>
      </c>
    </row>
    <row r="23" spans="1:18" s="43" customFormat="1" ht="24.95" customHeight="1" x14ac:dyDescent="0.15">
      <c r="A23" s="31">
        <v>21</v>
      </c>
      <c r="B23" s="31">
        <v>16</v>
      </c>
      <c r="C23" s="32" t="s">
        <v>34</v>
      </c>
      <c r="D23" s="33">
        <v>219.78</v>
      </c>
      <c r="E23" s="33">
        <v>282.76</v>
      </c>
      <c r="F23" s="34">
        <f t="shared" si="3"/>
        <v>-0.22273305983873246</v>
      </c>
      <c r="G23" s="35">
        <v>33</v>
      </c>
      <c r="H23" s="36">
        <v>3</v>
      </c>
      <c r="I23" s="35">
        <f t="shared" si="2"/>
        <v>11</v>
      </c>
      <c r="J23" s="35">
        <v>1</v>
      </c>
      <c r="K23" s="36">
        <v>8</v>
      </c>
      <c r="L23" s="33">
        <v>68149.2</v>
      </c>
      <c r="M23" s="35">
        <v>10266</v>
      </c>
      <c r="N23" s="37">
        <v>45016</v>
      </c>
      <c r="O23" s="59" t="s">
        <v>70</v>
      </c>
    </row>
    <row r="24" spans="1:18" s="43" customFormat="1" ht="24.6" customHeight="1" x14ac:dyDescent="0.15">
      <c r="A24" s="31">
        <v>22</v>
      </c>
      <c r="B24" s="31">
        <v>27</v>
      </c>
      <c r="C24" s="32" t="s">
        <v>47</v>
      </c>
      <c r="D24" s="33">
        <v>191</v>
      </c>
      <c r="E24" s="33">
        <v>55.2</v>
      </c>
      <c r="F24" s="34">
        <f t="shared" si="3"/>
        <v>2.4601449275362319</v>
      </c>
      <c r="G24" s="35">
        <v>53</v>
      </c>
      <c r="H24" s="36">
        <v>1</v>
      </c>
      <c r="I24" s="35">
        <f t="shared" si="2"/>
        <v>53</v>
      </c>
      <c r="J24" s="35">
        <v>1</v>
      </c>
      <c r="K24" s="36">
        <v>14</v>
      </c>
      <c r="L24" s="33">
        <v>276441.83</v>
      </c>
      <c r="M24" s="35">
        <v>46408</v>
      </c>
      <c r="N24" s="37">
        <v>44973</v>
      </c>
      <c r="O24" s="59" t="s">
        <v>25</v>
      </c>
    </row>
    <row r="25" spans="1:18" s="43" customFormat="1" ht="24.95" customHeight="1" x14ac:dyDescent="0.15">
      <c r="A25" s="31">
        <v>23</v>
      </c>
      <c r="B25" s="31">
        <v>17</v>
      </c>
      <c r="C25" s="41" t="s">
        <v>72</v>
      </c>
      <c r="D25" s="33">
        <v>84.1</v>
      </c>
      <c r="E25" s="33">
        <v>238.8</v>
      </c>
      <c r="F25" s="34">
        <f t="shared" si="3"/>
        <v>-0.6478224455611391</v>
      </c>
      <c r="G25" s="35">
        <v>12</v>
      </c>
      <c r="H25" s="36">
        <v>1</v>
      </c>
      <c r="I25" s="35">
        <f t="shared" si="2"/>
        <v>12</v>
      </c>
      <c r="J25" s="35">
        <v>1</v>
      </c>
      <c r="K25" s="36">
        <v>9</v>
      </c>
      <c r="L25" s="33">
        <v>54620</v>
      </c>
      <c r="M25" s="35">
        <v>7211</v>
      </c>
      <c r="N25" s="37">
        <v>45012</v>
      </c>
      <c r="O25" s="67" t="s">
        <v>73</v>
      </c>
    </row>
    <row r="26" spans="1:18" s="43" customFormat="1" ht="24.95" customHeight="1" x14ac:dyDescent="0.15">
      <c r="A26" s="31">
        <v>24</v>
      </c>
      <c r="B26" s="34" t="s">
        <v>17</v>
      </c>
      <c r="C26" s="41" t="s">
        <v>76</v>
      </c>
      <c r="D26" s="33">
        <v>81</v>
      </c>
      <c r="E26" s="34" t="s">
        <v>17</v>
      </c>
      <c r="F26" s="34" t="s">
        <v>17</v>
      </c>
      <c r="G26" s="35">
        <v>27</v>
      </c>
      <c r="H26" s="36">
        <v>1</v>
      </c>
      <c r="I26" s="35">
        <f t="shared" si="2"/>
        <v>27</v>
      </c>
      <c r="J26" s="35">
        <v>1</v>
      </c>
      <c r="K26" s="36" t="s">
        <v>17</v>
      </c>
      <c r="L26" s="15">
        <v>22075</v>
      </c>
      <c r="M26" s="17">
        <v>2648</v>
      </c>
      <c r="N26" s="37">
        <v>45012</v>
      </c>
      <c r="O26" s="67" t="s">
        <v>73</v>
      </c>
    </row>
    <row r="27" spans="1:18" s="43" customFormat="1" ht="24.95" customHeight="1" x14ac:dyDescent="0.15">
      <c r="A27" s="31">
        <v>25</v>
      </c>
      <c r="B27" s="31">
        <v>29</v>
      </c>
      <c r="C27" s="41" t="s">
        <v>41</v>
      </c>
      <c r="D27" s="33">
        <v>73.8</v>
      </c>
      <c r="E27" s="33">
        <v>46.1</v>
      </c>
      <c r="F27" s="34">
        <f>(D27-E27)/E27</f>
        <v>0.60086767895878512</v>
      </c>
      <c r="G27" s="35">
        <v>12</v>
      </c>
      <c r="H27" s="36">
        <v>2</v>
      </c>
      <c r="I27" s="35">
        <f t="shared" si="2"/>
        <v>6</v>
      </c>
      <c r="J27" s="35">
        <v>1</v>
      </c>
      <c r="K27" s="36">
        <v>13</v>
      </c>
      <c r="L27" s="33">
        <v>129604.68</v>
      </c>
      <c r="M27" s="35">
        <v>20333</v>
      </c>
      <c r="N27" s="37">
        <v>44981</v>
      </c>
      <c r="O27" s="67" t="s">
        <v>39</v>
      </c>
    </row>
    <row r="28" spans="1:18" s="43" customFormat="1" ht="24.6" customHeight="1" x14ac:dyDescent="0.15">
      <c r="A28" s="31">
        <v>26</v>
      </c>
      <c r="B28" s="31">
        <v>25</v>
      </c>
      <c r="C28" s="41" t="s">
        <v>61</v>
      </c>
      <c r="D28" s="45">
        <v>73</v>
      </c>
      <c r="E28" s="45">
        <v>77.599999999999994</v>
      </c>
      <c r="F28" s="34">
        <f>(D28-E28)/E28</f>
        <v>-5.9278350515463846E-2</v>
      </c>
      <c r="G28" s="46">
        <v>22</v>
      </c>
      <c r="H28" s="36">
        <v>1</v>
      </c>
      <c r="I28" s="35">
        <f t="shared" si="2"/>
        <v>22</v>
      </c>
      <c r="J28" s="35">
        <v>1</v>
      </c>
      <c r="K28" s="36">
        <v>4</v>
      </c>
      <c r="L28" s="45">
        <v>9758.9700000000012</v>
      </c>
      <c r="M28" s="46">
        <v>1602</v>
      </c>
      <c r="N28" s="37">
        <v>45044</v>
      </c>
      <c r="O28" s="59" t="s">
        <v>33</v>
      </c>
    </row>
    <row r="29" spans="1:18" s="43" customFormat="1" ht="24.6" customHeight="1" x14ac:dyDescent="0.15">
      <c r="A29" s="31">
        <v>27</v>
      </c>
      <c r="B29" s="31">
        <v>20</v>
      </c>
      <c r="C29" s="41" t="s">
        <v>92</v>
      </c>
      <c r="D29" s="33">
        <v>67.400000000000006</v>
      </c>
      <c r="E29" s="33">
        <v>167</v>
      </c>
      <c r="F29" s="34">
        <f>(D29-E29)/E29</f>
        <v>-0.59640718562874251</v>
      </c>
      <c r="G29" s="35">
        <v>12</v>
      </c>
      <c r="H29" s="36">
        <v>5</v>
      </c>
      <c r="I29" s="35">
        <f t="shared" si="2"/>
        <v>2.4</v>
      </c>
      <c r="J29" s="31">
        <v>4</v>
      </c>
      <c r="K29" s="36">
        <v>3</v>
      </c>
      <c r="L29" s="33">
        <v>3160</v>
      </c>
      <c r="M29" s="35">
        <v>557</v>
      </c>
      <c r="N29" s="37">
        <v>45051</v>
      </c>
      <c r="O29" s="38" t="s">
        <v>73</v>
      </c>
    </row>
    <row r="30" spans="1:18" s="43" customFormat="1" ht="24.6" customHeight="1" x14ac:dyDescent="0.15">
      <c r="A30" s="31">
        <v>28</v>
      </c>
      <c r="B30" s="34" t="s">
        <v>17</v>
      </c>
      <c r="C30" s="41" t="s">
        <v>68</v>
      </c>
      <c r="D30" s="33">
        <v>39</v>
      </c>
      <c r="E30" s="34" t="s">
        <v>17</v>
      </c>
      <c r="F30" s="34" t="s">
        <v>17</v>
      </c>
      <c r="G30" s="35">
        <v>11</v>
      </c>
      <c r="H30" s="36">
        <v>1</v>
      </c>
      <c r="I30" s="35">
        <f t="shared" si="2"/>
        <v>11</v>
      </c>
      <c r="J30" s="35">
        <v>1</v>
      </c>
      <c r="K30" s="36" t="s">
        <v>17</v>
      </c>
      <c r="L30" s="33">
        <v>2535.5000000000005</v>
      </c>
      <c r="M30" s="35">
        <v>455</v>
      </c>
      <c r="N30" s="37">
        <v>45043</v>
      </c>
      <c r="O30" s="67" t="s">
        <v>69</v>
      </c>
    </row>
    <row r="31" spans="1:18" s="43" customFormat="1" ht="24.6" customHeight="1" x14ac:dyDescent="0.15">
      <c r="A31" s="31">
        <v>29</v>
      </c>
      <c r="B31" s="31">
        <v>26</v>
      </c>
      <c r="C31" s="41" t="s">
        <v>78</v>
      </c>
      <c r="D31" s="33">
        <v>33.200000000000003</v>
      </c>
      <c r="E31" s="33">
        <v>59.2</v>
      </c>
      <c r="F31" s="34">
        <f>(D31-E31)/E31</f>
        <v>-0.43918918918918914</v>
      </c>
      <c r="G31" s="35">
        <v>5</v>
      </c>
      <c r="H31" s="36">
        <v>1</v>
      </c>
      <c r="I31" s="35">
        <f t="shared" si="2"/>
        <v>5</v>
      </c>
      <c r="J31" s="35">
        <v>1</v>
      </c>
      <c r="K31" s="36">
        <v>9</v>
      </c>
      <c r="L31" s="33">
        <v>9375</v>
      </c>
      <c r="M31" s="35">
        <v>1705</v>
      </c>
      <c r="N31" s="37">
        <v>45012</v>
      </c>
      <c r="O31" s="67" t="s">
        <v>73</v>
      </c>
    </row>
    <row r="32" spans="1:18" s="43" customFormat="1" ht="24.6" customHeight="1" x14ac:dyDescent="0.15">
      <c r="A32" s="31">
        <v>30</v>
      </c>
      <c r="B32" s="31">
        <v>24</v>
      </c>
      <c r="C32" s="32" t="s">
        <v>27</v>
      </c>
      <c r="D32" s="33">
        <v>33</v>
      </c>
      <c r="E32" s="33">
        <v>95</v>
      </c>
      <c r="F32" s="34">
        <f>(D32-E32)/E32</f>
        <v>-0.65263157894736845</v>
      </c>
      <c r="G32" s="35">
        <v>3</v>
      </c>
      <c r="H32" s="36" t="s">
        <v>17</v>
      </c>
      <c r="I32" s="35" t="s">
        <v>17</v>
      </c>
      <c r="J32" s="35">
        <v>1</v>
      </c>
      <c r="K32" s="36">
        <v>6</v>
      </c>
      <c r="L32" s="33">
        <v>52834</v>
      </c>
      <c r="M32" s="35">
        <v>7992</v>
      </c>
      <c r="N32" s="37">
        <v>45030</v>
      </c>
      <c r="O32" s="59" t="s">
        <v>28</v>
      </c>
    </row>
    <row r="33" spans="1:15" s="43" customFormat="1" ht="24.6" customHeight="1" x14ac:dyDescent="0.15">
      <c r="A33" s="31">
        <v>31</v>
      </c>
      <c r="B33" s="34" t="s">
        <v>17</v>
      </c>
      <c r="C33" s="41" t="s">
        <v>111</v>
      </c>
      <c r="D33" s="33">
        <v>26</v>
      </c>
      <c r="E33" s="34" t="s">
        <v>17</v>
      </c>
      <c r="F33" s="34" t="s">
        <v>17</v>
      </c>
      <c r="G33" s="35">
        <v>5</v>
      </c>
      <c r="H33" s="36">
        <v>1</v>
      </c>
      <c r="I33" s="35">
        <f>G33/H33</f>
        <v>5</v>
      </c>
      <c r="J33" s="35">
        <v>1</v>
      </c>
      <c r="K33" s="36" t="s">
        <v>17</v>
      </c>
      <c r="L33" s="33">
        <v>690</v>
      </c>
      <c r="M33" s="35">
        <v>141</v>
      </c>
      <c r="N33" s="37">
        <v>45012</v>
      </c>
      <c r="O33" s="67" t="s">
        <v>73</v>
      </c>
    </row>
    <row r="34" spans="1:15" s="43" customFormat="1" ht="24.6" customHeight="1" x14ac:dyDescent="0.15">
      <c r="A34" s="31">
        <v>32</v>
      </c>
      <c r="B34" s="31">
        <v>28</v>
      </c>
      <c r="C34" s="41" t="s">
        <v>83</v>
      </c>
      <c r="D34" s="33">
        <v>8</v>
      </c>
      <c r="E34" s="33">
        <v>53</v>
      </c>
      <c r="F34" s="34">
        <f>(D34-E34)/E34</f>
        <v>-0.84905660377358494</v>
      </c>
      <c r="G34" s="35">
        <v>2</v>
      </c>
      <c r="H34" s="36">
        <v>1</v>
      </c>
      <c r="I34" s="35">
        <f>G34/H34</f>
        <v>2</v>
      </c>
      <c r="J34" s="35">
        <v>1</v>
      </c>
      <c r="K34" s="36">
        <v>3</v>
      </c>
      <c r="L34" s="33">
        <v>848.35</v>
      </c>
      <c r="M34" s="35">
        <v>152</v>
      </c>
      <c r="N34" s="37">
        <v>45052</v>
      </c>
      <c r="O34" s="67" t="s">
        <v>30</v>
      </c>
    </row>
    <row r="35" spans="1:15" s="51" customFormat="1" ht="24.6" customHeight="1" x14ac:dyDescent="0.2">
      <c r="B35" s="70"/>
      <c r="C35" s="77" t="s">
        <v>109</v>
      </c>
      <c r="D35" s="52">
        <f>SUBTOTAL(109,Table132456[Pajamos 
(GBO)])</f>
        <v>167785.66999999998</v>
      </c>
      <c r="E35" s="52" t="s">
        <v>116</v>
      </c>
      <c r="F35" s="81">
        <f t="shared" ref="F35" si="4">(D35-E35)/E35</f>
        <v>0.74178002699055312</v>
      </c>
      <c r="G35" s="78">
        <f>SUBTOTAL(109,Table132456[Žiūrovų sk. 
(ADM)])</f>
        <v>24609</v>
      </c>
      <c r="H35" s="70"/>
      <c r="I35" s="70"/>
      <c r="J35" s="70"/>
      <c r="K35" s="70"/>
      <c r="L35" s="52"/>
      <c r="M35" s="78"/>
      <c r="N35" s="53"/>
      <c r="O35" s="79" t="s">
        <v>56</v>
      </c>
    </row>
    <row r="36" spans="1:15" hidden="1" x14ac:dyDescent="0.15">
      <c r="F36" s="4"/>
      <c r="L36" s="3"/>
    </row>
    <row r="37" spans="1:15" hidden="1" x14ac:dyDescent="0.15">
      <c r="F37" s="4"/>
      <c r="L37" s="3"/>
    </row>
    <row r="38" spans="1:15" hidden="1" x14ac:dyDescent="0.15">
      <c r="F38" s="4"/>
      <c r="L38" s="3"/>
    </row>
    <row r="39" spans="1:15" hidden="1" x14ac:dyDescent="0.15">
      <c r="F39" s="4"/>
      <c r="L39" s="3"/>
    </row>
    <row r="40" spans="1:15" hidden="1" x14ac:dyDescent="0.15">
      <c r="F40" s="4"/>
      <c r="L40" s="3"/>
    </row>
    <row r="41" spans="1:15" hidden="1" x14ac:dyDescent="0.15">
      <c r="F41" s="4"/>
      <c r="L41" s="3"/>
    </row>
    <row r="42" spans="1:15" hidden="1" x14ac:dyDescent="0.15">
      <c r="F42" s="4"/>
      <c r="L42" s="3"/>
    </row>
    <row r="43" spans="1:15" hidden="1" x14ac:dyDescent="0.15">
      <c r="F43" s="4"/>
      <c r="L43" s="3"/>
    </row>
    <row r="44" spans="1:15" hidden="1" x14ac:dyDescent="0.15">
      <c r="F44" s="4"/>
      <c r="L44" s="3"/>
    </row>
    <row r="45" spans="1:15" hidden="1" x14ac:dyDescent="0.15">
      <c r="F45" s="4"/>
      <c r="L45" s="3"/>
    </row>
    <row r="46" spans="1:15" hidden="1" x14ac:dyDescent="0.15">
      <c r="F46" s="4"/>
      <c r="L46" s="3"/>
    </row>
    <row r="47" spans="1:15" hidden="1" x14ac:dyDescent="0.15">
      <c r="F47" s="4"/>
      <c r="L47" s="3"/>
    </row>
    <row r="48" spans="1:15" hidden="1" x14ac:dyDescent="0.15">
      <c r="F48" s="4"/>
    </row>
    <row r="49" spans="1:16383" s="44" customFormat="1" hidden="1" x14ac:dyDescent="0.15">
      <c r="A49" s="1"/>
      <c r="B49" s="1"/>
      <c r="C49" s="1"/>
      <c r="D49" s="5"/>
      <c r="E49" s="5"/>
      <c r="F49" s="4"/>
      <c r="K49" s="66"/>
      <c r="L49" s="5"/>
      <c r="N49" s="12"/>
      <c r="O49" s="6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44" customFormat="1" hidden="1" x14ac:dyDescent="0.15">
      <c r="A50" s="1"/>
      <c r="B50" s="1"/>
      <c r="C50" s="1"/>
      <c r="D50" s="5"/>
      <c r="E50" s="5"/>
      <c r="F50" s="4"/>
      <c r="K50" s="66"/>
      <c r="L50" s="5"/>
      <c r="N50" s="12"/>
      <c r="O50" s="6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44" customFormat="1" hidden="1" x14ac:dyDescent="0.15">
      <c r="A51" s="1"/>
      <c r="B51" s="1"/>
      <c r="C51" s="1"/>
      <c r="D51" s="5"/>
      <c r="E51" s="5"/>
      <c r="F51" s="4"/>
      <c r="K51" s="66"/>
      <c r="L51" s="5"/>
      <c r="N51" s="12"/>
      <c r="O51" s="6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A5EF0-1B72-4BFF-B20D-0E12D171CC81}">
  <sheetPr>
    <pageSetUpPr fitToPage="1"/>
  </sheetPr>
  <dimension ref="A1:XFC51"/>
  <sheetViews>
    <sheetView topLeftCell="A8" zoomScale="60" zoomScaleNormal="60" workbookViewId="0">
      <selection activeCell="A23" sqref="A23:O23"/>
    </sheetView>
  </sheetViews>
  <sheetFormatPr defaultColWidth="18.28515625" defaultRowHeight="11.25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98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75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1">
        <v>1</v>
      </c>
      <c r="C3" s="41" t="s">
        <v>85</v>
      </c>
      <c r="D3" s="33">
        <v>38550.83</v>
      </c>
      <c r="E3" s="33">
        <v>78970.2</v>
      </c>
      <c r="F3" s="34">
        <f>(D3-E3)/E3</f>
        <v>-0.51183066523827969</v>
      </c>
      <c r="G3" s="35">
        <v>4824</v>
      </c>
      <c r="H3" s="35">
        <v>148</v>
      </c>
      <c r="I3" s="35">
        <f>G3/H3</f>
        <v>32.594594594594597</v>
      </c>
      <c r="J3" s="35">
        <v>25</v>
      </c>
      <c r="K3" s="36">
        <v>2</v>
      </c>
      <c r="L3" s="33">
        <v>158595.59</v>
      </c>
      <c r="M3" s="35">
        <v>20827</v>
      </c>
      <c r="N3" s="37">
        <v>45051</v>
      </c>
      <c r="O3" s="59" t="s">
        <v>49</v>
      </c>
    </row>
    <row r="4" spans="1:18" s="39" customFormat="1" ht="24.95" customHeight="1" x14ac:dyDescent="0.2">
      <c r="A4" s="31">
        <v>2</v>
      </c>
      <c r="B4" s="31">
        <v>3</v>
      </c>
      <c r="C4" s="32" t="s">
        <v>19</v>
      </c>
      <c r="D4" s="33">
        <v>12441.79</v>
      </c>
      <c r="E4" s="33">
        <v>20723.86</v>
      </c>
      <c r="F4" s="34">
        <f t="shared" ref="F4:F5" si="0">(D4-E4)/E4</f>
        <v>-0.39963935290047314</v>
      </c>
      <c r="G4" s="35">
        <v>2232</v>
      </c>
      <c r="H4" s="35">
        <v>96</v>
      </c>
      <c r="I4" s="35">
        <f t="shared" ref="I4:I8" si="1">G4/H4</f>
        <v>23.25</v>
      </c>
      <c r="J4" s="35">
        <v>16</v>
      </c>
      <c r="K4" s="36">
        <v>6</v>
      </c>
      <c r="L4" s="33">
        <v>482701.74</v>
      </c>
      <c r="M4" s="35">
        <v>87022</v>
      </c>
      <c r="N4" s="37">
        <v>45023</v>
      </c>
      <c r="O4" s="59" t="s">
        <v>71</v>
      </c>
    </row>
    <row r="5" spans="1:18" s="39" customFormat="1" ht="24.95" customHeight="1" x14ac:dyDescent="0.2">
      <c r="A5" s="31">
        <v>3</v>
      </c>
      <c r="B5" s="31">
        <v>2</v>
      </c>
      <c r="C5" s="32" t="s">
        <v>16</v>
      </c>
      <c r="D5" s="33">
        <v>10722.58</v>
      </c>
      <c r="E5" s="33">
        <v>21476.23</v>
      </c>
      <c r="F5" s="34">
        <f t="shared" si="0"/>
        <v>-0.50072335787053868</v>
      </c>
      <c r="G5" s="35">
        <v>2104</v>
      </c>
      <c r="H5" s="35">
        <v>109</v>
      </c>
      <c r="I5" s="35">
        <f t="shared" si="1"/>
        <v>19.302752293577981</v>
      </c>
      <c r="J5" s="35">
        <v>11</v>
      </c>
      <c r="K5" s="36">
        <v>4</v>
      </c>
      <c r="L5" s="33">
        <v>209956.77000000002</v>
      </c>
      <c r="M5" s="35">
        <v>41535</v>
      </c>
      <c r="N5" s="37">
        <v>45037</v>
      </c>
      <c r="O5" s="59" t="s">
        <v>18</v>
      </c>
      <c r="R5" s="31"/>
    </row>
    <row r="6" spans="1:18" s="39" customFormat="1" ht="24.95" customHeight="1" x14ac:dyDescent="0.2">
      <c r="A6" s="31">
        <v>4</v>
      </c>
      <c r="B6" s="31" t="s">
        <v>15</v>
      </c>
      <c r="C6" s="41" t="s">
        <v>105</v>
      </c>
      <c r="D6" s="33">
        <v>7338.16</v>
      </c>
      <c r="E6" s="34" t="s">
        <v>17</v>
      </c>
      <c r="F6" s="34" t="s">
        <v>17</v>
      </c>
      <c r="G6" s="35">
        <v>1064</v>
      </c>
      <c r="H6" s="35">
        <v>83</v>
      </c>
      <c r="I6" s="35">
        <f t="shared" si="1"/>
        <v>12.819277108433734</v>
      </c>
      <c r="J6" s="35">
        <v>14</v>
      </c>
      <c r="K6" s="36">
        <v>1</v>
      </c>
      <c r="L6" s="33">
        <v>7847.64</v>
      </c>
      <c r="M6" s="35">
        <v>1145</v>
      </c>
      <c r="N6" s="37">
        <v>45058</v>
      </c>
      <c r="O6" s="67" t="s">
        <v>25</v>
      </c>
      <c r="R6" s="31"/>
    </row>
    <row r="7" spans="1:18" s="39" customFormat="1" ht="24.95" customHeight="1" x14ac:dyDescent="0.2">
      <c r="A7" s="31">
        <v>5</v>
      </c>
      <c r="B7" s="31" t="s">
        <v>15</v>
      </c>
      <c r="C7" s="41" t="s">
        <v>106</v>
      </c>
      <c r="D7" s="33">
        <v>6415.46</v>
      </c>
      <c r="E7" s="34" t="s">
        <v>17</v>
      </c>
      <c r="F7" s="34" t="s">
        <v>17</v>
      </c>
      <c r="G7" s="35">
        <v>1271</v>
      </c>
      <c r="H7" s="35">
        <v>108</v>
      </c>
      <c r="I7" s="35">
        <f t="shared" si="1"/>
        <v>11.768518518518519</v>
      </c>
      <c r="J7" s="35">
        <v>17</v>
      </c>
      <c r="K7" s="36">
        <v>1</v>
      </c>
      <c r="L7" s="33">
        <v>6415.46</v>
      </c>
      <c r="M7" s="35">
        <v>1271</v>
      </c>
      <c r="N7" s="37">
        <v>45058</v>
      </c>
      <c r="O7" s="67" t="s">
        <v>25</v>
      </c>
      <c r="R7" s="31"/>
    </row>
    <row r="8" spans="1:18" s="39" customFormat="1" ht="24.95" customHeight="1" x14ac:dyDescent="0.2">
      <c r="A8" s="31">
        <v>6</v>
      </c>
      <c r="B8" s="31" t="s">
        <v>15</v>
      </c>
      <c r="C8" s="41" t="s">
        <v>107</v>
      </c>
      <c r="D8" s="33">
        <v>5018.8500000000004</v>
      </c>
      <c r="E8" s="34" t="s">
        <v>17</v>
      </c>
      <c r="F8" s="34" t="s">
        <v>17</v>
      </c>
      <c r="G8" s="35">
        <v>736</v>
      </c>
      <c r="H8" s="35">
        <v>73</v>
      </c>
      <c r="I8" s="35">
        <f t="shared" si="1"/>
        <v>10.082191780821917</v>
      </c>
      <c r="J8" s="35">
        <v>14</v>
      </c>
      <c r="K8" s="36">
        <v>1</v>
      </c>
      <c r="L8" s="33">
        <v>12821.07</v>
      </c>
      <c r="M8" s="35">
        <v>1704</v>
      </c>
      <c r="N8" s="37">
        <v>45058</v>
      </c>
      <c r="O8" s="67" t="s">
        <v>23</v>
      </c>
      <c r="R8" s="31"/>
    </row>
    <row r="9" spans="1:18" s="39" customFormat="1" ht="24.95" customHeight="1" x14ac:dyDescent="0.2">
      <c r="A9" s="31">
        <v>7</v>
      </c>
      <c r="B9" s="13" t="s">
        <v>15</v>
      </c>
      <c r="C9" s="41" t="s">
        <v>104</v>
      </c>
      <c r="D9" s="33">
        <v>2973</v>
      </c>
      <c r="E9" s="34" t="s">
        <v>17</v>
      </c>
      <c r="F9" s="34" t="s">
        <v>17</v>
      </c>
      <c r="G9" s="35">
        <v>488</v>
      </c>
      <c r="H9" s="17" t="s">
        <v>17</v>
      </c>
      <c r="I9" s="17" t="s">
        <v>17</v>
      </c>
      <c r="J9" s="35">
        <v>17</v>
      </c>
      <c r="K9" s="36">
        <v>1</v>
      </c>
      <c r="L9" s="33">
        <v>2973</v>
      </c>
      <c r="M9" s="35">
        <v>488</v>
      </c>
      <c r="N9" s="37">
        <v>45058</v>
      </c>
      <c r="O9" s="67" t="s">
        <v>28</v>
      </c>
      <c r="R9" s="31"/>
    </row>
    <row r="10" spans="1:18" s="39" customFormat="1" ht="24.95" customHeight="1" x14ac:dyDescent="0.2">
      <c r="A10" s="31">
        <v>8</v>
      </c>
      <c r="B10" s="31">
        <v>6</v>
      </c>
      <c r="C10" s="41" t="s">
        <v>63</v>
      </c>
      <c r="D10" s="33">
        <v>2584.12</v>
      </c>
      <c r="E10" s="33">
        <v>6423.83</v>
      </c>
      <c r="F10" s="34">
        <f>(D10-E10)/E10</f>
        <v>-0.59772908062635532</v>
      </c>
      <c r="G10" s="35">
        <v>365</v>
      </c>
      <c r="H10" s="35">
        <v>32</v>
      </c>
      <c r="I10" s="35">
        <f>G10/H10</f>
        <v>11.40625</v>
      </c>
      <c r="J10" s="35">
        <v>8</v>
      </c>
      <c r="K10" s="36">
        <v>3</v>
      </c>
      <c r="L10" s="33">
        <v>43330.400000000001</v>
      </c>
      <c r="M10" s="35">
        <v>5959</v>
      </c>
      <c r="N10" s="37">
        <v>45044</v>
      </c>
      <c r="O10" s="67" t="s">
        <v>25</v>
      </c>
      <c r="R10" s="31"/>
    </row>
    <row r="11" spans="1:18" s="39" customFormat="1" ht="24.95" customHeight="1" x14ac:dyDescent="0.2">
      <c r="A11" s="31">
        <v>9</v>
      </c>
      <c r="B11" s="31">
        <v>7</v>
      </c>
      <c r="C11" s="41" t="s">
        <v>62</v>
      </c>
      <c r="D11" s="45">
        <v>2278.1</v>
      </c>
      <c r="E11" s="45">
        <v>5999.64</v>
      </c>
      <c r="F11" s="34">
        <f t="shared" ref="F11:F23" si="2">(D11-E11)/E11</f>
        <v>-0.62029388429972465</v>
      </c>
      <c r="G11" s="46">
        <v>461</v>
      </c>
      <c r="H11" s="35">
        <v>28</v>
      </c>
      <c r="I11" s="35">
        <f t="shared" ref="I11:I23" si="3">G11/H11</f>
        <v>16.464285714285715</v>
      </c>
      <c r="J11" s="35">
        <v>8</v>
      </c>
      <c r="K11" s="36">
        <v>3</v>
      </c>
      <c r="L11" s="45">
        <v>29479.499999999996</v>
      </c>
      <c r="M11" s="46">
        <v>5813</v>
      </c>
      <c r="N11" s="37">
        <v>45044</v>
      </c>
      <c r="O11" s="59" t="s">
        <v>33</v>
      </c>
      <c r="R11" s="31"/>
    </row>
    <row r="12" spans="1:18" s="39" customFormat="1" ht="24.75" customHeight="1" x14ac:dyDescent="0.2">
      <c r="A12" s="31">
        <v>10</v>
      </c>
      <c r="B12" s="31">
        <v>4</v>
      </c>
      <c r="C12" s="41" t="s">
        <v>88</v>
      </c>
      <c r="D12" s="33">
        <v>1915.61</v>
      </c>
      <c r="E12" s="33">
        <v>6922.2699999999995</v>
      </c>
      <c r="F12" s="34">
        <f t="shared" si="2"/>
        <v>-0.72326852318675816</v>
      </c>
      <c r="G12" s="35">
        <v>396</v>
      </c>
      <c r="H12" s="35">
        <v>33</v>
      </c>
      <c r="I12" s="35">
        <f t="shared" si="3"/>
        <v>12</v>
      </c>
      <c r="J12" s="35">
        <v>13</v>
      </c>
      <c r="K12" s="36">
        <v>2</v>
      </c>
      <c r="L12" s="33">
        <v>14473.939999999999</v>
      </c>
      <c r="M12" s="35">
        <v>3132</v>
      </c>
      <c r="N12" s="37">
        <v>45051</v>
      </c>
      <c r="O12" s="67" t="s">
        <v>89</v>
      </c>
      <c r="R12" s="31"/>
    </row>
    <row r="13" spans="1:18" s="39" customFormat="1" ht="24.95" customHeight="1" x14ac:dyDescent="0.2">
      <c r="A13" s="31">
        <v>11</v>
      </c>
      <c r="B13" s="31">
        <v>5</v>
      </c>
      <c r="C13" s="41" t="s">
        <v>20</v>
      </c>
      <c r="D13" s="45">
        <v>1306.07</v>
      </c>
      <c r="E13" s="45">
        <v>6845.19</v>
      </c>
      <c r="F13" s="34">
        <f t="shared" si="2"/>
        <v>-0.80919886811030817</v>
      </c>
      <c r="G13" s="46">
        <v>188</v>
      </c>
      <c r="H13" s="35">
        <v>8</v>
      </c>
      <c r="I13" s="35">
        <f t="shared" si="3"/>
        <v>23.5</v>
      </c>
      <c r="J13" s="35">
        <v>4</v>
      </c>
      <c r="K13" s="36">
        <v>4</v>
      </c>
      <c r="L13" s="45">
        <v>69080.91</v>
      </c>
      <c r="M13" s="46">
        <v>9882</v>
      </c>
      <c r="N13" s="37">
        <v>45037</v>
      </c>
      <c r="O13" s="59" t="s">
        <v>21</v>
      </c>
      <c r="R13" s="31"/>
    </row>
    <row r="14" spans="1:18" s="39" customFormat="1" ht="24.95" customHeight="1" x14ac:dyDescent="0.2">
      <c r="A14" s="31">
        <v>12</v>
      </c>
      <c r="B14" s="31">
        <v>8</v>
      </c>
      <c r="C14" s="32" t="s">
        <v>22</v>
      </c>
      <c r="D14" s="33">
        <v>1306.07</v>
      </c>
      <c r="E14" s="33">
        <v>4302.22</v>
      </c>
      <c r="F14" s="34">
        <f t="shared" si="2"/>
        <v>-0.69641952294396858</v>
      </c>
      <c r="G14" s="35">
        <v>188</v>
      </c>
      <c r="H14" s="35">
        <v>8</v>
      </c>
      <c r="I14" s="35">
        <f t="shared" si="3"/>
        <v>23.5</v>
      </c>
      <c r="J14" s="35">
        <v>4</v>
      </c>
      <c r="K14" s="36">
        <v>6</v>
      </c>
      <c r="L14" s="33">
        <v>133451.10999999999</v>
      </c>
      <c r="M14" s="35">
        <v>19243</v>
      </c>
      <c r="N14" s="37">
        <v>45023</v>
      </c>
      <c r="O14" s="59" t="s">
        <v>23</v>
      </c>
      <c r="R14" s="31"/>
    </row>
    <row r="15" spans="1:18" s="39" customFormat="1" ht="24.95" customHeight="1" x14ac:dyDescent="0.2">
      <c r="A15" s="31">
        <v>13</v>
      </c>
      <c r="B15" s="31">
        <v>9</v>
      </c>
      <c r="C15" s="32" t="s">
        <v>24</v>
      </c>
      <c r="D15" s="33">
        <v>746.15</v>
      </c>
      <c r="E15" s="33">
        <v>3068.25</v>
      </c>
      <c r="F15" s="34">
        <f t="shared" si="2"/>
        <v>-0.75681577446427117</v>
      </c>
      <c r="G15" s="35">
        <v>96</v>
      </c>
      <c r="H15" s="35">
        <v>7</v>
      </c>
      <c r="I15" s="35">
        <f t="shared" si="3"/>
        <v>13.714285714285714</v>
      </c>
      <c r="J15" s="35">
        <v>3</v>
      </c>
      <c r="K15" s="36">
        <v>8</v>
      </c>
      <c r="L15" s="33">
        <v>321798.84000000003</v>
      </c>
      <c r="M15" s="35">
        <v>44127</v>
      </c>
      <c r="N15" s="37">
        <v>45009</v>
      </c>
      <c r="O15" s="59" t="s">
        <v>25</v>
      </c>
      <c r="R15" s="31"/>
    </row>
    <row r="16" spans="1:18" s="39" customFormat="1" ht="24.95" customHeight="1" x14ac:dyDescent="0.2">
      <c r="A16" s="31">
        <v>14</v>
      </c>
      <c r="B16" s="31">
        <v>13</v>
      </c>
      <c r="C16" s="41" t="s">
        <v>86</v>
      </c>
      <c r="D16" s="33">
        <v>453</v>
      </c>
      <c r="E16" s="33">
        <v>1029</v>
      </c>
      <c r="F16" s="34">
        <f t="shared" si="2"/>
        <v>-0.55976676384839652</v>
      </c>
      <c r="G16" s="35">
        <v>83</v>
      </c>
      <c r="H16" s="35">
        <v>2</v>
      </c>
      <c r="I16" s="35">
        <f t="shared" si="3"/>
        <v>41.5</v>
      </c>
      <c r="J16" s="35">
        <v>2</v>
      </c>
      <c r="K16" s="36">
        <v>3</v>
      </c>
      <c r="L16" s="33">
        <v>14859.27</v>
      </c>
      <c r="M16" s="35">
        <v>2316</v>
      </c>
      <c r="N16" s="37">
        <v>45047</v>
      </c>
      <c r="O16" s="67" t="s">
        <v>71</v>
      </c>
      <c r="R16" s="31"/>
    </row>
    <row r="17" spans="1:19" s="39" customFormat="1" ht="24.95" customHeight="1" x14ac:dyDescent="0.2">
      <c r="A17" s="31">
        <v>15</v>
      </c>
      <c r="B17" s="31">
        <v>22</v>
      </c>
      <c r="C17" s="32" t="s">
        <v>42</v>
      </c>
      <c r="D17" s="33">
        <v>350.7</v>
      </c>
      <c r="E17" s="33">
        <v>434.6</v>
      </c>
      <c r="F17" s="34">
        <f t="shared" si="2"/>
        <v>-0.19305108145421085</v>
      </c>
      <c r="G17" s="35">
        <v>53</v>
      </c>
      <c r="H17" s="35">
        <v>5</v>
      </c>
      <c r="I17" s="35">
        <f t="shared" si="3"/>
        <v>10.6</v>
      </c>
      <c r="J17" s="35">
        <v>2</v>
      </c>
      <c r="K17" s="36">
        <v>11</v>
      </c>
      <c r="L17" s="33">
        <v>231847.23000000007</v>
      </c>
      <c r="M17" s="35">
        <v>36341</v>
      </c>
      <c r="N17" s="37">
        <v>44988</v>
      </c>
      <c r="O17" s="59" t="s">
        <v>43</v>
      </c>
      <c r="R17" s="31"/>
    </row>
    <row r="18" spans="1:19" s="39" customFormat="1" ht="24.95" customHeight="1" x14ac:dyDescent="0.2">
      <c r="A18" s="31">
        <v>16</v>
      </c>
      <c r="B18" s="31">
        <v>15</v>
      </c>
      <c r="C18" s="32" t="s">
        <v>34</v>
      </c>
      <c r="D18" s="33">
        <v>282.76</v>
      </c>
      <c r="E18" s="33">
        <v>803.68</v>
      </c>
      <c r="F18" s="34">
        <f t="shared" si="2"/>
        <v>-0.64816842524387819</v>
      </c>
      <c r="G18" s="35">
        <v>40</v>
      </c>
      <c r="H18" s="35">
        <v>3</v>
      </c>
      <c r="I18" s="35">
        <f t="shared" si="3"/>
        <v>13.333333333333334</v>
      </c>
      <c r="J18" s="35">
        <v>1</v>
      </c>
      <c r="K18" s="36">
        <v>7</v>
      </c>
      <c r="L18" s="33">
        <v>67690.42</v>
      </c>
      <c r="M18" s="35">
        <v>10193</v>
      </c>
      <c r="N18" s="37">
        <v>45016</v>
      </c>
      <c r="O18" s="59" t="s">
        <v>70</v>
      </c>
      <c r="R18" s="31"/>
    </row>
    <row r="19" spans="1:19" s="39" customFormat="1" ht="24.95" customHeight="1" x14ac:dyDescent="0.2">
      <c r="A19" s="31">
        <v>17</v>
      </c>
      <c r="B19" s="31">
        <v>20</v>
      </c>
      <c r="C19" s="41" t="s">
        <v>72</v>
      </c>
      <c r="D19" s="33">
        <v>238.8</v>
      </c>
      <c r="E19" s="33">
        <v>591.9</v>
      </c>
      <c r="F19" s="34">
        <f t="shared" si="2"/>
        <v>-0.59655347187024832</v>
      </c>
      <c r="G19" s="35">
        <v>42</v>
      </c>
      <c r="H19" s="35">
        <v>3</v>
      </c>
      <c r="I19" s="35">
        <f t="shared" si="3"/>
        <v>14</v>
      </c>
      <c r="J19" s="35">
        <v>3</v>
      </c>
      <c r="K19" s="36">
        <v>8</v>
      </c>
      <c r="L19" s="33">
        <v>54536</v>
      </c>
      <c r="M19" s="35">
        <v>7199</v>
      </c>
      <c r="N19" s="37">
        <v>45012</v>
      </c>
      <c r="O19" s="67" t="s">
        <v>73</v>
      </c>
      <c r="R19" s="31"/>
    </row>
    <row r="20" spans="1:19" s="39" customFormat="1" ht="24.75" customHeight="1" x14ac:dyDescent="0.2">
      <c r="A20" s="31">
        <v>18</v>
      </c>
      <c r="B20" s="31">
        <v>17</v>
      </c>
      <c r="C20" s="41" t="s">
        <v>74</v>
      </c>
      <c r="D20" s="33">
        <v>221</v>
      </c>
      <c r="E20" s="33">
        <v>757.34</v>
      </c>
      <c r="F20" s="34">
        <f t="shared" si="2"/>
        <v>-0.70818918847545353</v>
      </c>
      <c r="G20" s="35">
        <v>37</v>
      </c>
      <c r="H20" s="35">
        <v>3</v>
      </c>
      <c r="I20" s="35">
        <f t="shared" si="3"/>
        <v>12.333333333333334</v>
      </c>
      <c r="J20" s="35">
        <v>2</v>
      </c>
      <c r="K20" s="36">
        <v>8</v>
      </c>
      <c r="L20" s="33">
        <v>44711</v>
      </c>
      <c r="M20" s="35">
        <v>5174</v>
      </c>
      <c r="N20" s="37">
        <v>45012</v>
      </c>
      <c r="O20" s="67" t="s">
        <v>73</v>
      </c>
      <c r="R20" s="31"/>
    </row>
    <row r="21" spans="1:19" s="43" customFormat="1" ht="24.95" customHeight="1" x14ac:dyDescent="0.15">
      <c r="A21" s="31">
        <v>19</v>
      </c>
      <c r="B21" s="31">
        <v>11</v>
      </c>
      <c r="C21" s="32" t="s">
        <v>26</v>
      </c>
      <c r="D21" s="33">
        <v>179.2</v>
      </c>
      <c r="E21" s="33">
        <v>2564</v>
      </c>
      <c r="F21" s="34">
        <f t="shared" si="2"/>
        <v>-0.93010920436817479</v>
      </c>
      <c r="G21" s="35">
        <v>26</v>
      </c>
      <c r="H21" s="35">
        <v>3</v>
      </c>
      <c r="I21" s="35">
        <f t="shared" si="3"/>
        <v>8.6666666666666661</v>
      </c>
      <c r="J21" s="35">
        <v>1</v>
      </c>
      <c r="K21" s="36">
        <v>5</v>
      </c>
      <c r="L21" s="33">
        <v>52877.95</v>
      </c>
      <c r="M21" s="35">
        <v>8448</v>
      </c>
      <c r="N21" s="37">
        <v>45030</v>
      </c>
      <c r="O21" s="59" t="s">
        <v>21</v>
      </c>
      <c r="R21" s="31"/>
      <c r="S21" s="39"/>
    </row>
    <row r="22" spans="1:19" s="43" customFormat="1" ht="24.75" customHeight="1" x14ac:dyDescent="0.15">
      <c r="A22" s="31">
        <v>20</v>
      </c>
      <c r="B22" s="31">
        <v>12</v>
      </c>
      <c r="C22" s="41" t="s">
        <v>92</v>
      </c>
      <c r="D22" s="33">
        <v>167</v>
      </c>
      <c r="E22" s="33">
        <v>1884.8</v>
      </c>
      <c r="F22" s="34">
        <f t="shared" si="2"/>
        <v>-0.91139643463497455</v>
      </c>
      <c r="G22" s="35">
        <v>27</v>
      </c>
      <c r="H22" s="31">
        <v>7</v>
      </c>
      <c r="I22" s="35">
        <f t="shared" si="3"/>
        <v>3.8571428571428572</v>
      </c>
      <c r="J22" s="31">
        <v>5</v>
      </c>
      <c r="K22" s="31">
        <v>2</v>
      </c>
      <c r="L22" s="33">
        <v>3093</v>
      </c>
      <c r="M22" s="35">
        <v>545</v>
      </c>
      <c r="N22" s="37">
        <v>45051</v>
      </c>
      <c r="O22" s="38" t="s">
        <v>73</v>
      </c>
    </row>
    <row r="23" spans="1:19" s="43" customFormat="1" ht="24.75" customHeight="1" x14ac:dyDescent="0.15">
      <c r="A23" s="31">
        <v>21</v>
      </c>
      <c r="B23" s="31">
        <v>16</v>
      </c>
      <c r="C23" s="32" t="s">
        <v>31</v>
      </c>
      <c r="D23" s="33">
        <v>166.75</v>
      </c>
      <c r="E23" s="33">
        <v>764.56</v>
      </c>
      <c r="F23" s="34">
        <f t="shared" si="2"/>
        <v>-0.78190070105681697</v>
      </c>
      <c r="G23" s="35">
        <v>32</v>
      </c>
      <c r="H23" s="35">
        <v>3</v>
      </c>
      <c r="I23" s="35">
        <f t="shared" si="3"/>
        <v>10.666666666666666</v>
      </c>
      <c r="J23" s="35">
        <v>2</v>
      </c>
      <c r="K23" s="36">
        <v>5</v>
      </c>
      <c r="L23" s="33">
        <v>35051.19</v>
      </c>
      <c r="M23" s="35">
        <v>5494</v>
      </c>
      <c r="N23" s="37">
        <v>45030</v>
      </c>
      <c r="O23" s="59" t="s">
        <v>23</v>
      </c>
    </row>
    <row r="24" spans="1:19" s="43" customFormat="1" ht="24.95" customHeight="1" x14ac:dyDescent="0.15">
      <c r="A24" s="31">
        <v>22</v>
      </c>
      <c r="B24" s="31" t="s">
        <v>15</v>
      </c>
      <c r="C24" s="41" t="s">
        <v>108</v>
      </c>
      <c r="D24" s="33">
        <v>130.99</v>
      </c>
      <c r="E24" s="34" t="s">
        <v>17</v>
      </c>
      <c r="F24" s="34" t="s">
        <v>17</v>
      </c>
      <c r="G24" s="35">
        <v>20</v>
      </c>
      <c r="H24" s="35" t="s">
        <v>17</v>
      </c>
      <c r="I24" s="35" t="s">
        <v>17</v>
      </c>
      <c r="J24" s="35">
        <v>2</v>
      </c>
      <c r="K24" s="36">
        <v>1</v>
      </c>
      <c r="L24" s="33">
        <v>130.99</v>
      </c>
      <c r="M24" s="35">
        <v>20</v>
      </c>
      <c r="N24" s="37">
        <v>45058</v>
      </c>
      <c r="O24" s="67" t="s">
        <v>67</v>
      </c>
    </row>
    <row r="25" spans="1:19" s="43" customFormat="1" ht="24.95" customHeight="1" x14ac:dyDescent="0.15">
      <c r="A25" s="31">
        <v>23</v>
      </c>
      <c r="B25" s="31">
        <v>24</v>
      </c>
      <c r="C25" s="32" t="s">
        <v>36</v>
      </c>
      <c r="D25" s="33">
        <v>118.06</v>
      </c>
      <c r="E25" s="33">
        <v>312.16000000000003</v>
      </c>
      <c r="F25" s="34">
        <f>(D25-E25)/E25</f>
        <v>-0.62179651460789342</v>
      </c>
      <c r="G25" s="35">
        <v>23</v>
      </c>
      <c r="H25" s="35">
        <v>2</v>
      </c>
      <c r="I25" s="35">
        <f>G25/H25</f>
        <v>11.5</v>
      </c>
      <c r="J25" s="35">
        <v>2</v>
      </c>
      <c r="K25" s="36">
        <v>5</v>
      </c>
      <c r="L25" s="33">
        <v>8602.91</v>
      </c>
      <c r="M25" s="35">
        <v>1419</v>
      </c>
      <c r="N25" s="37">
        <v>45030</v>
      </c>
      <c r="O25" s="59" t="s">
        <v>37</v>
      </c>
    </row>
    <row r="26" spans="1:19" s="43" customFormat="1" ht="24.95" customHeight="1" x14ac:dyDescent="0.15">
      <c r="A26" s="31">
        <v>24</v>
      </c>
      <c r="B26" s="31">
        <v>10</v>
      </c>
      <c r="C26" s="32" t="s">
        <v>27</v>
      </c>
      <c r="D26" s="33">
        <v>95</v>
      </c>
      <c r="E26" s="33">
        <v>2707</v>
      </c>
      <c r="F26" s="34">
        <f t="shared" ref="F26:F33" si="4">(D26-E26)/E26</f>
        <v>-0.96490579977835245</v>
      </c>
      <c r="G26" s="35">
        <v>14</v>
      </c>
      <c r="H26" s="35" t="s">
        <v>17</v>
      </c>
      <c r="I26" s="35" t="s">
        <v>17</v>
      </c>
      <c r="J26" s="35">
        <v>2</v>
      </c>
      <c r="K26" s="36">
        <v>5</v>
      </c>
      <c r="L26" s="33">
        <v>52431</v>
      </c>
      <c r="M26" s="35">
        <v>7928</v>
      </c>
      <c r="N26" s="37">
        <v>45030</v>
      </c>
      <c r="O26" s="59" t="s">
        <v>28</v>
      </c>
    </row>
    <row r="27" spans="1:19" s="43" customFormat="1" ht="24.95" customHeight="1" x14ac:dyDescent="0.15">
      <c r="A27" s="31">
        <v>25</v>
      </c>
      <c r="B27" s="31">
        <v>14</v>
      </c>
      <c r="C27" s="41" t="s">
        <v>61</v>
      </c>
      <c r="D27" s="45">
        <v>77.599999999999994</v>
      </c>
      <c r="E27" s="45">
        <v>965.12</v>
      </c>
      <c r="F27" s="34">
        <f t="shared" si="4"/>
        <v>-0.9195954907161803</v>
      </c>
      <c r="G27" s="46">
        <v>14</v>
      </c>
      <c r="H27" s="35">
        <v>2</v>
      </c>
      <c r="I27" s="35">
        <f>G27/H27</f>
        <v>7</v>
      </c>
      <c r="J27" s="35">
        <v>2</v>
      </c>
      <c r="K27" s="36">
        <v>3</v>
      </c>
      <c r="L27" s="45">
        <v>9469.8700000000008</v>
      </c>
      <c r="M27" s="46">
        <v>1549</v>
      </c>
      <c r="N27" s="37">
        <v>45044</v>
      </c>
      <c r="O27" s="59" t="s">
        <v>33</v>
      </c>
    </row>
    <row r="28" spans="1:19" s="43" customFormat="1" ht="24.6" customHeight="1" x14ac:dyDescent="0.15">
      <c r="A28" s="31">
        <v>26</v>
      </c>
      <c r="B28" s="31">
        <v>19</v>
      </c>
      <c r="C28" s="41" t="s">
        <v>78</v>
      </c>
      <c r="D28" s="33">
        <v>59.2</v>
      </c>
      <c r="E28" s="33">
        <v>598.29999999999995</v>
      </c>
      <c r="F28" s="34">
        <f t="shared" si="4"/>
        <v>-0.90105298345311713</v>
      </c>
      <c r="G28" s="35">
        <v>8</v>
      </c>
      <c r="H28" s="35">
        <v>2</v>
      </c>
      <c r="I28" s="35">
        <f t="shared" ref="I28:I34" si="5">G28/H28</f>
        <v>4</v>
      </c>
      <c r="J28" s="35">
        <v>2</v>
      </c>
      <c r="K28" s="36">
        <v>8</v>
      </c>
      <c r="L28" s="33">
        <v>9342</v>
      </c>
      <c r="M28" s="35">
        <v>1700</v>
      </c>
      <c r="N28" s="37">
        <v>45012</v>
      </c>
      <c r="O28" s="67" t="s">
        <v>73</v>
      </c>
    </row>
    <row r="29" spans="1:19" s="43" customFormat="1" ht="24.95" customHeight="1" x14ac:dyDescent="0.15">
      <c r="A29" s="31">
        <v>27</v>
      </c>
      <c r="B29" s="31">
        <v>29</v>
      </c>
      <c r="C29" s="32" t="s">
        <v>47</v>
      </c>
      <c r="D29" s="33">
        <v>55.2</v>
      </c>
      <c r="E29" s="33">
        <v>153.80000000000001</v>
      </c>
      <c r="F29" s="34">
        <f t="shared" si="4"/>
        <v>-0.64109232769830948</v>
      </c>
      <c r="G29" s="35">
        <v>9</v>
      </c>
      <c r="H29" s="35">
        <v>1</v>
      </c>
      <c r="I29" s="35">
        <f t="shared" si="5"/>
        <v>9</v>
      </c>
      <c r="J29" s="35">
        <v>1</v>
      </c>
      <c r="K29" s="36">
        <v>13</v>
      </c>
      <c r="L29" s="33">
        <v>276164.83</v>
      </c>
      <c r="M29" s="35">
        <v>46338</v>
      </c>
      <c r="N29" s="37">
        <v>44973</v>
      </c>
      <c r="O29" s="59" t="s">
        <v>25</v>
      </c>
    </row>
    <row r="30" spans="1:19" ht="24.95" customHeight="1" x14ac:dyDescent="0.15">
      <c r="A30" s="31">
        <v>28</v>
      </c>
      <c r="B30" s="31">
        <v>21</v>
      </c>
      <c r="C30" s="41" t="s">
        <v>83</v>
      </c>
      <c r="D30" s="33">
        <v>53</v>
      </c>
      <c r="E30" s="33">
        <v>513.17999999999995</v>
      </c>
      <c r="F30" s="34">
        <f t="shared" si="4"/>
        <v>-0.89672239759928285</v>
      </c>
      <c r="G30" s="35">
        <v>9</v>
      </c>
      <c r="H30" s="35">
        <v>1</v>
      </c>
      <c r="I30" s="35">
        <f t="shared" si="5"/>
        <v>9</v>
      </c>
      <c r="J30" s="35">
        <v>1</v>
      </c>
      <c r="K30" s="36">
        <v>2</v>
      </c>
      <c r="L30" s="33">
        <v>778.75</v>
      </c>
      <c r="M30" s="35">
        <v>139</v>
      </c>
      <c r="N30" s="37">
        <v>45052</v>
      </c>
      <c r="O30" s="67" t="s">
        <v>30</v>
      </c>
    </row>
    <row r="31" spans="1:19" s="43" customFormat="1" ht="24.95" customHeight="1" x14ac:dyDescent="0.15">
      <c r="A31" s="31">
        <v>29</v>
      </c>
      <c r="B31" s="31">
        <v>28</v>
      </c>
      <c r="C31" s="41" t="s">
        <v>41</v>
      </c>
      <c r="D31" s="33">
        <v>46.1</v>
      </c>
      <c r="E31" s="33">
        <v>173.9</v>
      </c>
      <c r="F31" s="34">
        <f t="shared" si="4"/>
        <v>-0.73490511788384127</v>
      </c>
      <c r="G31" s="35">
        <v>7</v>
      </c>
      <c r="H31" s="35">
        <v>1</v>
      </c>
      <c r="I31" s="35">
        <f t="shared" si="5"/>
        <v>7</v>
      </c>
      <c r="J31" s="35">
        <v>1</v>
      </c>
      <c r="K31" s="36">
        <v>12</v>
      </c>
      <c r="L31" s="33">
        <v>129500.78</v>
      </c>
      <c r="M31" s="35">
        <v>20317</v>
      </c>
      <c r="N31" s="37">
        <v>44981</v>
      </c>
      <c r="O31" s="67" t="s">
        <v>39</v>
      </c>
    </row>
    <row r="32" spans="1:19" s="43" customFormat="1" ht="24.95" customHeight="1" x14ac:dyDescent="0.15">
      <c r="A32" s="31">
        <v>30</v>
      </c>
      <c r="B32" s="31">
        <v>34</v>
      </c>
      <c r="C32" s="32" t="s">
        <v>50</v>
      </c>
      <c r="D32" s="33">
        <v>16</v>
      </c>
      <c r="E32" s="33">
        <v>54.8</v>
      </c>
      <c r="F32" s="34">
        <f t="shared" si="4"/>
        <v>-0.70802919708029199</v>
      </c>
      <c r="G32" s="35">
        <v>3</v>
      </c>
      <c r="H32" s="35">
        <v>1</v>
      </c>
      <c r="I32" s="35">
        <f t="shared" si="5"/>
        <v>3</v>
      </c>
      <c r="J32" s="35">
        <v>1</v>
      </c>
      <c r="K32" s="36">
        <v>5</v>
      </c>
      <c r="L32" s="33">
        <v>1320.25</v>
      </c>
      <c r="M32" s="35">
        <v>287</v>
      </c>
      <c r="N32" s="37">
        <v>45030</v>
      </c>
      <c r="O32" s="59" t="s">
        <v>30</v>
      </c>
    </row>
    <row r="33" spans="1:15" s="43" customFormat="1" ht="24.95" customHeight="1" x14ac:dyDescent="0.15">
      <c r="A33" s="31">
        <v>31</v>
      </c>
      <c r="B33" s="31">
        <v>25</v>
      </c>
      <c r="C33" s="32" t="s">
        <v>90</v>
      </c>
      <c r="D33" s="33">
        <v>12.9</v>
      </c>
      <c r="E33" s="33">
        <v>312</v>
      </c>
      <c r="F33" s="34">
        <f t="shared" si="4"/>
        <v>-0.95865384615384619</v>
      </c>
      <c r="G33" s="35">
        <v>2</v>
      </c>
      <c r="H33" s="35">
        <v>1</v>
      </c>
      <c r="I33" s="35">
        <f t="shared" si="5"/>
        <v>2</v>
      </c>
      <c r="J33" s="35">
        <v>1</v>
      </c>
      <c r="K33" s="35" t="s">
        <v>17</v>
      </c>
      <c r="L33" s="33">
        <v>40012.780000000006</v>
      </c>
      <c r="M33" s="35">
        <v>6790</v>
      </c>
      <c r="N33" s="37">
        <v>44678</v>
      </c>
      <c r="O33" s="59" t="s">
        <v>33</v>
      </c>
    </row>
    <row r="34" spans="1:15" s="43" customFormat="1" ht="24.95" customHeight="1" x14ac:dyDescent="0.15">
      <c r="A34" s="31">
        <v>32</v>
      </c>
      <c r="B34" s="31" t="s">
        <v>17</v>
      </c>
      <c r="C34" s="41" t="s">
        <v>103</v>
      </c>
      <c r="D34" s="33">
        <v>10</v>
      </c>
      <c r="E34" s="34" t="s">
        <v>17</v>
      </c>
      <c r="F34" s="34" t="s">
        <v>17</v>
      </c>
      <c r="G34" s="35">
        <v>2</v>
      </c>
      <c r="H34" s="35">
        <v>1</v>
      </c>
      <c r="I34" s="35">
        <f t="shared" si="5"/>
        <v>2</v>
      </c>
      <c r="J34" s="35">
        <v>1</v>
      </c>
      <c r="K34" s="35" t="s">
        <v>17</v>
      </c>
      <c r="L34" s="33">
        <v>121</v>
      </c>
      <c r="M34" s="35">
        <v>21</v>
      </c>
      <c r="N34" s="37">
        <v>45012</v>
      </c>
      <c r="O34" s="67" t="s">
        <v>73</v>
      </c>
    </row>
    <row r="35" spans="1:15" s="51" customFormat="1" ht="24.95" customHeight="1" x14ac:dyDescent="0.2">
      <c r="B35" s="70"/>
      <c r="C35" s="77" t="s">
        <v>109</v>
      </c>
      <c r="D35" s="52">
        <f>SUBTOTAL(109,Table13245[Pajamos 
(GBO)])</f>
        <v>96330.050000000017</v>
      </c>
      <c r="E35" s="52" t="s">
        <v>102</v>
      </c>
      <c r="F35" s="81">
        <f t="shared" ref="F35" si="6">(D35-E35)/E35</f>
        <v>-0.43792529013962866</v>
      </c>
      <c r="G35" s="78">
        <f>SUBTOTAL(109,Table13245[Žiūrovų sk. 
(ADM)])</f>
        <v>14864</v>
      </c>
      <c r="H35" s="70"/>
      <c r="I35" s="70"/>
      <c r="J35" s="70"/>
      <c r="K35" s="70"/>
      <c r="L35" s="52"/>
      <c r="M35" s="78"/>
      <c r="N35" s="53"/>
      <c r="O35" s="79" t="s">
        <v>56</v>
      </c>
    </row>
    <row r="36" spans="1:15" hidden="1" x14ac:dyDescent="0.15">
      <c r="F36" s="4"/>
      <c r="L36" s="3"/>
    </row>
    <row r="37" spans="1:15" hidden="1" x14ac:dyDescent="0.15">
      <c r="F37" s="4"/>
      <c r="L37" s="3"/>
    </row>
    <row r="38" spans="1:15" hidden="1" x14ac:dyDescent="0.15">
      <c r="F38" s="4"/>
      <c r="L38" s="3"/>
    </row>
    <row r="39" spans="1:15" hidden="1" x14ac:dyDescent="0.15">
      <c r="F39" s="4"/>
      <c r="L39" s="3"/>
    </row>
    <row r="40" spans="1:15" hidden="1" x14ac:dyDescent="0.15">
      <c r="F40" s="4"/>
      <c r="L40" s="3"/>
    </row>
    <row r="41" spans="1:15" hidden="1" x14ac:dyDescent="0.15">
      <c r="F41" s="4"/>
      <c r="L41" s="3"/>
    </row>
    <row r="42" spans="1:15" hidden="1" x14ac:dyDescent="0.15">
      <c r="F42" s="4"/>
      <c r="L42" s="3"/>
    </row>
    <row r="43" spans="1:15" hidden="1" x14ac:dyDescent="0.15">
      <c r="F43" s="4"/>
      <c r="L43" s="3"/>
    </row>
    <row r="44" spans="1:15" hidden="1" x14ac:dyDescent="0.15">
      <c r="F44" s="4"/>
      <c r="L44" s="3"/>
    </row>
    <row r="45" spans="1:15" hidden="1" x14ac:dyDescent="0.15">
      <c r="F45" s="4"/>
      <c r="L45" s="3"/>
    </row>
    <row r="46" spans="1:15" hidden="1" x14ac:dyDescent="0.15">
      <c r="F46" s="4"/>
      <c r="L46" s="3"/>
    </row>
    <row r="47" spans="1:15" hidden="1" x14ac:dyDescent="0.15">
      <c r="F47" s="4"/>
      <c r="L47" s="3"/>
    </row>
    <row r="48" spans="1:15" hidden="1" x14ac:dyDescent="0.15">
      <c r="F48" s="4"/>
    </row>
    <row r="49" spans="6:6" hidden="1" x14ac:dyDescent="0.15">
      <c r="F49" s="4"/>
    </row>
    <row r="50" spans="6:6" hidden="1" x14ac:dyDescent="0.15">
      <c r="F50" s="4"/>
    </row>
    <row r="51" spans="6:6" hidden="1" x14ac:dyDescent="0.15">
      <c r="F51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7D601-1B92-4547-8395-B91F34A29E02}">
  <sheetPr>
    <pageSetUpPr fitToPage="1"/>
  </sheetPr>
  <dimension ref="A1:XFC56"/>
  <sheetViews>
    <sheetView topLeftCell="A23" zoomScale="60" zoomScaleNormal="60" workbookViewId="0">
      <selection activeCell="A39" sqref="A39:O39"/>
    </sheetView>
  </sheetViews>
  <sheetFormatPr defaultColWidth="18.28515625" defaultRowHeight="11.25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58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99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75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55" t="s">
        <v>13</v>
      </c>
      <c r="O2" s="50" t="s">
        <v>14</v>
      </c>
    </row>
    <row r="3" spans="1:18" s="39" customFormat="1" ht="24.95" customHeight="1" x14ac:dyDescent="0.2">
      <c r="A3" s="13">
        <v>1</v>
      </c>
      <c r="B3" s="13" t="s">
        <v>15</v>
      </c>
      <c r="C3" s="21" t="s">
        <v>85</v>
      </c>
      <c r="D3" s="15">
        <v>78970.2</v>
      </c>
      <c r="E3" s="16" t="s">
        <v>17</v>
      </c>
      <c r="F3" s="16" t="s">
        <v>17</v>
      </c>
      <c r="G3" s="17">
        <v>10175</v>
      </c>
      <c r="H3" s="17">
        <v>184</v>
      </c>
      <c r="I3" s="17">
        <f t="shared" ref="I3:I11" si="0">G3/H3</f>
        <v>55.298913043478258</v>
      </c>
      <c r="J3" s="17">
        <v>27</v>
      </c>
      <c r="K3" s="18">
        <v>1</v>
      </c>
      <c r="L3" s="15">
        <v>93144.63</v>
      </c>
      <c r="M3" s="17">
        <v>12077</v>
      </c>
      <c r="N3" s="57">
        <v>45051</v>
      </c>
      <c r="O3" s="59" t="s">
        <v>49</v>
      </c>
    </row>
    <row r="4" spans="1:18" s="39" customFormat="1" ht="24.95" customHeight="1" x14ac:dyDescent="0.2">
      <c r="A4" s="31">
        <v>2</v>
      </c>
      <c r="B4" s="31">
        <v>1</v>
      </c>
      <c r="C4" s="32" t="s">
        <v>16</v>
      </c>
      <c r="D4" s="33">
        <v>21476.23</v>
      </c>
      <c r="E4" s="33">
        <v>47078.53</v>
      </c>
      <c r="F4" s="34">
        <f>(D4-E4)/E4</f>
        <v>-0.54382114309856322</v>
      </c>
      <c r="G4" s="35">
        <v>4169</v>
      </c>
      <c r="H4" s="35">
        <v>147</v>
      </c>
      <c r="I4" s="35">
        <f t="shared" si="0"/>
        <v>28.360544217687075</v>
      </c>
      <c r="J4" s="35">
        <v>14</v>
      </c>
      <c r="K4" s="36">
        <v>3</v>
      </c>
      <c r="L4" s="33">
        <v>194112.34000000003</v>
      </c>
      <c r="M4" s="35">
        <v>38285</v>
      </c>
      <c r="N4" s="56">
        <v>45037</v>
      </c>
      <c r="O4" s="59" t="s">
        <v>18</v>
      </c>
    </row>
    <row r="5" spans="1:18" s="39" customFormat="1" ht="24.95" customHeight="1" x14ac:dyDescent="0.2">
      <c r="A5" s="13">
        <v>3</v>
      </c>
      <c r="B5" s="31">
        <v>2</v>
      </c>
      <c r="C5" s="32" t="s">
        <v>19</v>
      </c>
      <c r="D5" s="33">
        <v>20723.86</v>
      </c>
      <c r="E5" s="33">
        <v>46337.26</v>
      </c>
      <c r="F5" s="34">
        <f>(D5-E5)/E5</f>
        <v>-0.55276034879921687</v>
      </c>
      <c r="G5" s="35">
        <v>3761</v>
      </c>
      <c r="H5" s="35">
        <v>107</v>
      </c>
      <c r="I5" s="35">
        <f t="shared" si="0"/>
        <v>35.149532710280376</v>
      </c>
      <c r="J5" s="35">
        <v>18</v>
      </c>
      <c r="K5" s="36">
        <v>5</v>
      </c>
      <c r="L5" s="33">
        <v>466110.63</v>
      </c>
      <c r="M5" s="35">
        <v>83944</v>
      </c>
      <c r="N5" s="56">
        <v>45023</v>
      </c>
      <c r="O5" s="59" t="s">
        <v>71</v>
      </c>
      <c r="R5" s="31"/>
    </row>
    <row r="6" spans="1:18" s="39" customFormat="1" ht="24.95" customHeight="1" x14ac:dyDescent="0.2">
      <c r="A6" s="31">
        <v>4</v>
      </c>
      <c r="B6" s="13" t="s">
        <v>87</v>
      </c>
      <c r="C6" s="21" t="s">
        <v>88</v>
      </c>
      <c r="D6" s="15">
        <v>6922.2699999999995</v>
      </c>
      <c r="E6" s="16" t="s">
        <v>17</v>
      </c>
      <c r="F6" s="16" t="s">
        <v>17</v>
      </c>
      <c r="G6" s="17">
        <v>1256</v>
      </c>
      <c r="H6" s="17">
        <v>74</v>
      </c>
      <c r="I6" s="17">
        <f t="shared" si="0"/>
        <v>16.972972972972972</v>
      </c>
      <c r="J6" s="17">
        <v>15</v>
      </c>
      <c r="K6" s="18">
        <v>1</v>
      </c>
      <c r="L6" s="15">
        <v>6922.2699999999995</v>
      </c>
      <c r="M6" s="17">
        <v>1256</v>
      </c>
      <c r="N6" s="57">
        <v>45051</v>
      </c>
      <c r="O6" s="60" t="s">
        <v>89</v>
      </c>
      <c r="R6" s="31"/>
    </row>
    <row r="7" spans="1:18" s="39" customFormat="1" ht="24.95" customHeight="1" x14ac:dyDescent="0.2">
      <c r="A7" s="13">
        <v>5</v>
      </c>
      <c r="B7" s="31">
        <v>4</v>
      </c>
      <c r="C7" s="41" t="s">
        <v>20</v>
      </c>
      <c r="D7" s="45">
        <v>6845.19</v>
      </c>
      <c r="E7" s="45">
        <v>16630.16</v>
      </c>
      <c r="F7" s="34">
        <f t="shared" ref="F7:F13" si="1">(D7-E7)/E7</f>
        <v>-0.58838700289113277</v>
      </c>
      <c r="G7" s="46">
        <v>940</v>
      </c>
      <c r="H7" s="35">
        <v>41</v>
      </c>
      <c r="I7" s="35">
        <f t="shared" si="0"/>
        <v>22.926829268292682</v>
      </c>
      <c r="J7" s="35">
        <v>8</v>
      </c>
      <c r="K7" s="36">
        <v>3</v>
      </c>
      <c r="L7" s="45">
        <v>63660.83</v>
      </c>
      <c r="M7" s="46">
        <v>9097</v>
      </c>
      <c r="N7" s="56">
        <v>45037</v>
      </c>
      <c r="O7" s="59" t="s">
        <v>21</v>
      </c>
      <c r="R7" s="31"/>
    </row>
    <row r="8" spans="1:18" s="39" customFormat="1" ht="24.95" customHeight="1" x14ac:dyDescent="0.2">
      <c r="A8" s="31">
        <v>6</v>
      </c>
      <c r="B8" s="31">
        <v>3</v>
      </c>
      <c r="C8" s="41" t="s">
        <v>63</v>
      </c>
      <c r="D8" s="33">
        <v>6423.83</v>
      </c>
      <c r="E8" s="33">
        <v>20045.3</v>
      </c>
      <c r="F8" s="34">
        <f t="shared" si="1"/>
        <v>-0.67953435468663481</v>
      </c>
      <c r="G8" s="35">
        <v>938</v>
      </c>
      <c r="H8" s="35">
        <v>47</v>
      </c>
      <c r="I8" s="35">
        <f t="shared" si="0"/>
        <v>19.957446808510639</v>
      </c>
      <c r="J8" s="35">
        <v>12</v>
      </c>
      <c r="K8" s="36">
        <v>2</v>
      </c>
      <c r="L8" s="33">
        <v>37944.42</v>
      </c>
      <c r="M8" s="35">
        <v>5121</v>
      </c>
      <c r="N8" s="56">
        <v>45044</v>
      </c>
      <c r="O8" s="67" t="s">
        <v>25</v>
      </c>
      <c r="R8" s="31"/>
    </row>
    <row r="9" spans="1:18" s="39" customFormat="1" ht="24.95" customHeight="1" x14ac:dyDescent="0.2">
      <c r="A9" s="13">
        <v>7</v>
      </c>
      <c r="B9" s="31">
        <v>5</v>
      </c>
      <c r="C9" s="41" t="s">
        <v>62</v>
      </c>
      <c r="D9" s="45">
        <v>5999.64</v>
      </c>
      <c r="E9" s="33">
        <v>14078.06</v>
      </c>
      <c r="F9" s="34">
        <f t="shared" si="1"/>
        <v>-0.57383048516627999</v>
      </c>
      <c r="G9" s="46">
        <v>1201</v>
      </c>
      <c r="H9" s="35">
        <v>56</v>
      </c>
      <c r="I9" s="35">
        <f t="shared" si="0"/>
        <v>21.446428571428573</v>
      </c>
      <c r="J9" s="35">
        <v>18</v>
      </c>
      <c r="K9" s="36">
        <v>2</v>
      </c>
      <c r="L9" s="45">
        <v>26078.989999999998</v>
      </c>
      <c r="M9" s="46">
        <v>5068</v>
      </c>
      <c r="N9" s="56">
        <v>45044</v>
      </c>
      <c r="O9" s="59" t="s">
        <v>33</v>
      </c>
      <c r="R9" s="31"/>
    </row>
    <row r="10" spans="1:18" s="39" customFormat="1" ht="24.95" customHeight="1" x14ac:dyDescent="0.2">
      <c r="A10" s="31">
        <v>8</v>
      </c>
      <c r="B10" s="31">
        <v>6</v>
      </c>
      <c r="C10" s="32" t="s">
        <v>22</v>
      </c>
      <c r="D10" s="33">
        <v>4302.22</v>
      </c>
      <c r="E10" s="33">
        <v>9617.69</v>
      </c>
      <c r="F10" s="34">
        <f t="shared" si="1"/>
        <v>-0.55267637031345362</v>
      </c>
      <c r="G10" s="35">
        <v>590</v>
      </c>
      <c r="H10" s="35">
        <v>23</v>
      </c>
      <c r="I10" s="35">
        <f t="shared" si="0"/>
        <v>25.652173913043477</v>
      </c>
      <c r="J10" s="35">
        <v>8</v>
      </c>
      <c r="K10" s="36">
        <v>5</v>
      </c>
      <c r="L10" s="33">
        <v>130531.12</v>
      </c>
      <c r="M10" s="35">
        <v>18822</v>
      </c>
      <c r="N10" s="56">
        <v>45023</v>
      </c>
      <c r="O10" s="59" t="s">
        <v>23</v>
      </c>
      <c r="R10" s="31"/>
    </row>
    <row r="11" spans="1:18" s="39" customFormat="1" ht="24.95" customHeight="1" x14ac:dyDescent="0.2">
      <c r="A11" s="13">
        <v>9</v>
      </c>
      <c r="B11" s="31">
        <v>7</v>
      </c>
      <c r="C11" s="32" t="s">
        <v>24</v>
      </c>
      <c r="D11" s="33">
        <v>3068.25</v>
      </c>
      <c r="E11" s="33">
        <v>5292.17</v>
      </c>
      <c r="F11" s="34">
        <f t="shared" si="1"/>
        <v>-0.4202283751277831</v>
      </c>
      <c r="G11" s="35">
        <v>413</v>
      </c>
      <c r="H11" s="35">
        <v>18</v>
      </c>
      <c r="I11" s="35">
        <f t="shared" si="0"/>
        <v>22.944444444444443</v>
      </c>
      <c r="J11" s="35">
        <v>6</v>
      </c>
      <c r="K11" s="36">
        <v>7</v>
      </c>
      <c r="L11" s="33">
        <v>319632.49</v>
      </c>
      <c r="M11" s="35">
        <v>43823</v>
      </c>
      <c r="N11" s="56">
        <v>45009</v>
      </c>
      <c r="O11" s="59" t="s">
        <v>25</v>
      </c>
      <c r="R11" s="31"/>
    </row>
    <row r="12" spans="1:18" s="39" customFormat="1" ht="24.75" customHeight="1" x14ac:dyDescent="0.2">
      <c r="A12" s="31">
        <v>10</v>
      </c>
      <c r="B12" s="31">
        <v>10</v>
      </c>
      <c r="C12" s="32" t="s">
        <v>27</v>
      </c>
      <c r="D12" s="33">
        <v>2707</v>
      </c>
      <c r="E12" s="33">
        <v>4300</v>
      </c>
      <c r="F12" s="34">
        <f t="shared" si="1"/>
        <v>-0.37046511627906975</v>
      </c>
      <c r="G12" s="35">
        <v>397</v>
      </c>
      <c r="H12" s="35" t="s">
        <v>17</v>
      </c>
      <c r="I12" s="35" t="s">
        <v>17</v>
      </c>
      <c r="J12" s="35">
        <v>9</v>
      </c>
      <c r="K12" s="36">
        <v>4</v>
      </c>
      <c r="L12" s="33">
        <v>51939</v>
      </c>
      <c r="M12" s="35">
        <v>7847</v>
      </c>
      <c r="N12" s="56">
        <v>45030</v>
      </c>
      <c r="O12" s="59" t="s">
        <v>28</v>
      </c>
      <c r="R12" s="31"/>
    </row>
    <row r="13" spans="1:18" s="39" customFormat="1" ht="24.95" customHeight="1" x14ac:dyDescent="0.2">
      <c r="A13" s="13">
        <v>11</v>
      </c>
      <c r="B13" s="31">
        <v>8</v>
      </c>
      <c r="C13" s="32" t="s">
        <v>26</v>
      </c>
      <c r="D13" s="33">
        <v>2564</v>
      </c>
      <c r="E13" s="33">
        <v>4556.41</v>
      </c>
      <c r="F13" s="34">
        <f t="shared" si="1"/>
        <v>-0.43727627671785463</v>
      </c>
      <c r="G13" s="35">
        <v>399</v>
      </c>
      <c r="H13" s="35">
        <v>12</v>
      </c>
      <c r="I13" s="35">
        <f>G13/H13</f>
        <v>33.25</v>
      </c>
      <c r="J13" s="35">
        <v>4</v>
      </c>
      <c r="K13" s="36">
        <v>4</v>
      </c>
      <c r="L13" s="33">
        <v>51785.53</v>
      </c>
      <c r="M13" s="35">
        <v>8266</v>
      </c>
      <c r="N13" s="56">
        <v>45030</v>
      </c>
      <c r="O13" s="59" t="s">
        <v>21</v>
      </c>
      <c r="R13" s="31"/>
    </row>
    <row r="14" spans="1:18" s="39" customFormat="1" ht="24.95" customHeight="1" x14ac:dyDescent="0.2">
      <c r="A14" s="31">
        <v>12</v>
      </c>
      <c r="B14" s="13" t="s">
        <v>15</v>
      </c>
      <c r="C14" s="21" t="s">
        <v>92</v>
      </c>
      <c r="D14" s="15">
        <v>1884.8</v>
      </c>
      <c r="E14" s="15" t="s">
        <v>17</v>
      </c>
      <c r="F14" s="16" t="s">
        <v>17</v>
      </c>
      <c r="G14" s="17">
        <v>297</v>
      </c>
      <c r="H14" s="13">
        <v>31</v>
      </c>
      <c r="I14" s="13" t="s">
        <v>17</v>
      </c>
      <c r="J14" s="13" t="s">
        <v>17</v>
      </c>
      <c r="K14" s="13">
        <v>1</v>
      </c>
      <c r="L14" s="15">
        <v>2164</v>
      </c>
      <c r="M14" s="17">
        <v>390</v>
      </c>
      <c r="N14" s="19">
        <v>45051</v>
      </c>
      <c r="O14" s="20" t="s">
        <v>73</v>
      </c>
      <c r="R14" s="31"/>
    </row>
    <row r="15" spans="1:18" s="39" customFormat="1" ht="24.95" customHeight="1" x14ac:dyDescent="0.2">
      <c r="A15" s="13">
        <v>13</v>
      </c>
      <c r="B15" s="13" t="s">
        <v>17</v>
      </c>
      <c r="C15" s="21" t="s">
        <v>86</v>
      </c>
      <c r="D15" s="15">
        <v>1029</v>
      </c>
      <c r="E15" s="16" t="s">
        <v>17</v>
      </c>
      <c r="F15" s="16" t="s">
        <v>17</v>
      </c>
      <c r="G15" s="17">
        <v>184</v>
      </c>
      <c r="H15" s="17">
        <v>3</v>
      </c>
      <c r="I15" s="17">
        <f>G15/H15</f>
        <v>61.333333333333336</v>
      </c>
      <c r="J15" s="17">
        <v>2</v>
      </c>
      <c r="K15" s="18">
        <v>2</v>
      </c>
      <c r="L15" s="15">
        <v>14198.27</v>
      </c>
      <c r="M15" s="17">
        <v>2195</v>
      </c>
      <c r="N15" s="57">
        <v>45047</v>
      </c>
      <c r="O15" s="60" t="s">
        <v>71</v>
      </c>
      <c r="R15" s="31"/>
    </row>
    <row r="16" spans="1:18" s="39" customFormat="1" ht="24.95" customHeight="1" x14ac:dyDescent="0.2">
      <c r="A16" s="31">
        <v>14</v>
      </c>
      <c r="B16" s="31">
        <v>9</v>
      </c>
      <c r="C16" s="41" t="s">
        <v>61</v>
      </c>
      <c r="D16" s="45">
        <v>965.12</v>
      </c>
      <c r="E16" s="33">
        <v>4496.62</v>
      </c>
      <c r="F16" s="34">
        <f t="shared" ref="F16:F22" si="2">(D16-E16)/E16</f>
        <v>-0.78536767616565328</v>
      </c>
      <c r="G16" s="46">
        <v>160</v>
      </c>
      <c r="H16" s="35">
        <v>11</v>
      </c>
      <c r="I16" s="35">
        <f>G16/H16</f>
        <v>14.545454545454545</v>
      </c>
      <c r="J16" s="35">
        <v>7</v>
      </c>
      <c r="K16" s="36">
        <v>2</v>
      </c>
      <c r="L16" s="45">
        <v>8673.49</v>
      </c>
      <c r="M16" s="46">
        <v>1395</v>
      </c>
      <c r="N16" s="56">
        <v>45044</v>
      </c>
      <c r="O16" s="59" t="s">
        <v>33</v>
      </c>
      <c r="R16" s="31"/>
    </row>
    <row r="17" spans="1:19" s="39" customFormat="1" ht="24.95" customHeight="1" x14ac:dyDescent="0.2">
      <c r="A17" s="13">
        <v>15</v>
      </c>
      <c r="B17" s="31">
        <v>12</v>
      </c>
      <c r="C17" s="32" t="s">
        <v>34</v>
      </c>
      <c r="D17" s="33">
        <v>803.68</v>
      </c>
      <c r="E17" s="33">
        <v>3291.93</v>
      </c>
      <c r="F17" s="34">
        <f t="shared" si="2"/>
        <v>-0.75586358154638766</v>
      </c>
      <c r="G17" s="35">
        <v>123</v>
      </c>
      <c r="H17" s="35">
        <v>9</v>
      </c>
      <c r="I17" s="35">
        <f>G17/H17</f>
        <v>13.666666666666666</v>
      </c>
      <c r="J17" s="35">
        <v>2</v>
      </c>
      <c r="K17" s="36">
        <v>6</v>
      </c>
      <c r="L17" s="33">
        <v>66996.679999999993</v>
      </c>
      <c r="M17" s="35">
        <v>10080</v>
      </c>
      <c r="N17" s="56">
        <v>45016</v>
      </c>
      <c r="O17" s="59" t="s">
        <v>70</v>
      </c>
      <c r="R17" s="31"/>
    </row>
    <row r="18" spans="1:19" s="39" customFormat="1" ht="24.95" customHeight="1" x14ac:dyDescent="0.2">
      <c r="A18" s="31">
        <v>16</v>
      </c>
      <c r="B18" s="31">
        <v>13</v>
      </c>
      <c r="C18" s="32" t="s">
        <v>31</v>
      </c>
      <c r="D18" s="33">
        <v>764.56</v>
      </c>
      <c r="E18" s="33">
        <v>2490.61</v>
      </c>
      <c r="F18" s="34">
        <f t="shared" si="2"/>
        <v>-0.69302299436684189</v>
      </c>
      <c r="G18" s="35">
        <v>123</v>
      </c>
      <c r="H18" s="35">
        <v>11</v>
      </c>
      <c r="I18" s="35">
        <f>G18/H18</f>
        <v>11.181818181818182</v>
      </c>
      <c r="J18" s="35">
        <v>3</v>
      </c>
      <c r="K18" s="36">
        <v>4</v>
      </c>
      <c r="L18" s="33">
        <v>34475.480000000003</v>
      </c>
      <c r="M18" s="35">
        <v>5393</v>
      </c>
      <c r="N18" s="56">
        <v>45030</v>
      </c>
      <c r="O18" s="59" t="s">
        <v>23</v>
      </c>
      <c r="R18" s="31"/>
    </row>
    <row r="19" spans="1:19" s="39" customFormat="1" ht="24.95" customHeight="1" x14ac:dyDescent="0.2">
      <c r="A19" s="13">
        <v>17</v>
      </c>
      <c r="B19" s="31">
        <v>17</v>
      </c>
      <c r="C19" s="41" t="s">
        <v>74</v>
      </c>
      <c r="D19" s="33">
        <v>757.34</v>
      </c>
      <c r="E19" s="33">
        <v>740.78</v>
      </c>
      <c r="F19" s="34">
        <f t="shared" si="2"/>
        <v>2.2354815194794757E-2</v>
      </c>
      <c r="G19" s="35">
        <v>147</v>
      </c>
      <c r="H19" s="35">
        <v>5</v>
      </c>
      <c r="I19" s="35">
        <f>G19/H19</f>
        <v>29.4</v>
      </c>
      <c r="J19" s="35" t="s">
        <v>17</v>
      </c>
      <c r="K19" s="36">
        <v>7</v>
      </c>
      <c r="L19" s="33">
        <v>44430</v>
      </c>
      <c r="M19" s="35">
        <v>5129</v>
      </c>
      <c r="N19" s="56">
        <v>45012</v>
      </c>
      <c r="O19" s="67" t="s">
        <v>73</v>
      </c>
      <c r="R19" s="31"/>
    </row>
    <row r="20" spans="1:19" s="39" customFormat="1" ht="24.95" customHeight="1" x14ac:dyDescent="0.2">
      <c r="A20" s="31">
        <v>18</v>
      </c>
      <c r="B20" s="31">
        <v>11</v>
      </c>
      <c r="C20" s="32" t="s">
        <v>29</v>
      </c>
      <c r="D20" s="33">
        <v>681</v>
      </c>
      <c r="E20" s="33">
        <v>3344</v>
      </c>
      <c r="F20" s="34">
        <f t="shared" si="2"/>
        <v>-0.79635167464114831</v>
      </c>
      <c r="G20" s="35">
        <v>196</v>
      </c>
      <c r="H20" s="35" t="s">
        <v>17</v>
      </c>
      <c r="I20" s="35" t="s">
        <v>17</v>
      </c>
      <c r="J20" s="35">
        <v>7</v>
      </c>
      <c r="K20" s="36">
        <v>3</v>
      </c>
      <c r="L20" s="33">
        <v>12594</v>
      </c>
      <c r="M20" s="35">
        <v>2665</v>
      </c>
      <c r="N20" s="56">
        <v>45037</v>
      </c>
      <c r="O20" s="59" t="s">
        <v>30</v>
      </c>
      <c r="R20" s="31"/>
    </row>
    <row r="21" spans="1:19" s="39" customFormat="1" ht="24.75" customHeight="1" x14ac:dyDescent="0.2">
      <c r="A21" s="13">
        <v>19</v>
      </c>
      <c r="B21" s="31">
        <v>23</v>
      </c>
      <c r="C21" s="41" t="s">
        <v>78</v>
      </c>
      <c r="D21" s="33">
        <v>598.29999999999995</v>
      </c>
      <c r="E21" s="33">
        <v>384.2</v>
      </c>
      <c r="F21" s="34">
        <f t="shared" si="2"/>
        <v>0.5572618427902134</v>
      </c>
      <c r="G21" s="35">
        <v>95</v>
      </c>
      <c r="H21" s="35">
        <v>3</v>
      </c>
      <c r="I21" s="35">
        <f>G21/H21</f>
        <v>31.666666666666668</v>
      </c>
      <c r="J21" s="35" t="s">
        <v>17</v>
      </c>
      <c r="K21" s="36">
        <v>7</v>
      </c>
      <c r="L21" s="33">
        <v>9220</v>
      </c>
      <c r="M21" s="35">
        <v>1680</v>
      </c>
      <c r="N21" s="56">
        <v>45012</v>
      </c>
      <c r="O21" s="67" t="s">
        <v>73</v>
      </c>
      <c r="R21" s="31"/>
    </row>
    <row r="22" spans="1:19" s="43" customFormat="1" ht="24.95" customHeight="1" x14ac:dyDescent="0.15">
      <c r="A22" s="31">
        <v>20</v>
      </c>
      <c r="B22" s="31">
        <v>16</v>
      </c>
      <c r="C22" s="41" t="s">
        <v>72</v>
      </c>
      <c r="D22" s="33">
        <v>591.9</v>
      </c>
      <c r="E22" s="33">
        <v>1247.4000000000001</v>
      </c>
      <c r="F22" s="34">
        <f t="shared" si="2"/>
        <v>-0.52549302549302557</v>
      </c>
      <c r="G22" s="35">
        <v>103</v>
      </c>
      <c r="H22" s="35">
        <v>4</v>
      </c>
      <c r="I22" s="35">
        <f>G22/H22</f>
        <v>25.75</v>
      </c>
      <c r="J22" s="35" t="s">
        <v>17</v>
      </c>
      <c r="K22" s="36">
        <v>7</v>
      </c>
      <c r="L22" s="33">
        <v>54130</v>
      </c>
      <c r="M22" s="35">
        <v>7129</v>
      </c>
      <c r="N22" s="56">
        <v>45012</v>
      </c>
      <c r="O22" s="67" t="s">
        <v>73</v>
      </c>
      <c r="R22" s="31"/>
      <c r="S22" s="39"/>
    </row>
    <row r="23" spans="1:19" s="43" customFormat="1" ht="24.75" customHeight="1" x14ac:dyDescent="0.15">
      <c r="A23" s="13">
        <v>21</v>
      </c>
      <c r="B23" s="13" t="s">
        <v>15</v>
      </c>
      <c r="C23" s="21" t="s">
        <v>83</v>
      </c>
      <c r="D23" s="15">
        <v>513.17999999999995</v>
      </c>
      <c r="E23" s="16" t="s">
        <v>17</v>
      </c>
      <c r="F23" s="16" t="s">
        <v>17</v>
      </c>
      <c r="G23" s="17">
        <v>95</v>
      </c>
      <c r="H23" s="17">
        <v>10</v>
      </c>
      <c r="I23" s="17">
        <f>G23/H23</f>
        <v>9.5</v>
      </c>
      <c r="J23" s="17">
        <v>5</v>
      </c>
      <c r="K23" s="18">
        <v>1</v>
      </c>
      <c r="L23" s="15">
        <v>513.17999999999995</v>
      </c>
      <c r="M23" s="17">
        <v>95</v>
      </c>
      <c r="N23" s="57">
        <v>45052</v>
      </c>
      <c r="O23" s="60" t="s">
        <v>30</v>
      </c>
    </row>
    <row r="24" spans="1:19" ht="24.75" customHeight="1" x14ac:dyDescent="0.15">
      <c r="A24" s="31">
        <v>22</v>
      </c>
      <c r="B24" s="31">
        <v>18</v>
      </c>
      <c r="C24" s="32" t="s">
        <v>42</v>
      </c>
      <c r="D24" s="33">
        <v>434.6</v>
      </c>
      <c r="E24" s="33">
        <v>711.8</v>
      </c>
      <c r="F24" s="34">
        <f>(D24-E24)/E24</f>
        <v>-0.38943523461646523</v>
      </c>
      <c r="G24" s="35">
        <v>65</v>
      </c>
      <c r="H24" s="35">
        <v>7</v>
      </c>
      <c r="I24" s="35">
        <f>G24/H24</f>
        <v>9.2857142857142865</v>
      </c>
      <c r="J24" s="35">
        <v>1</v>
      </c>
      <c r="K24" s="36">
        <v>10</v>
      </c>
      <c r="L24" s="33">
        <v>227521.92000000004</v>
      </c>
      <c r="M24" s="35">
        <v>35649</v>
      </c>
      <c r="N24" s="56">
        <v>44988</v>
      </c>
      <c r="O24" s="59" t="s">
        <v>43</v>
      </c>
    </row>
    <row r="25" spans="1:19" s="43" customFormat="1" ht="24.95" customHeight="1" x14ac:dyDescent="0.15">
      <c r="A25" s="13">
        <v>23</v>
      </c>
      <c r="B25" s="13" t="s">
        <v>15</v>
      </c>
      <c r="C25" s="21" t="s">
        <v>84</v>
      </c>
      <c r="D25" s="15">
        <v>384.89</v>
      </c>
      <c r="E25" s="16" t="s">
        <v>17</v>
      </c>
      <c r="F25" s="16" t="s">
        <v>17</v>
      </c>
      <c r="G25" s="17">
        <v>51</v>
      </c>
      <c r="H25" s="17" t="s">
        <v>17</v>
      </c>
      <c r="I25" s="17" t="s">
        <v>17</v>
      </c>
      <c r="J25" s="17">
        <v>2</v>
      </c>
      <c r="K25" s="18">
        <v>1</v>
      </c>
      <c r="L25" s="15">
        <v>384.89</v>
      </c>
      <c r="M25" s="17">
        <v>51</v>
      </c>
      <c r="N25" s="57">
        <v>45051</v>
      </c>
      <c r="O25" s="60" t="s">
        <v>67</v>
      </c>
    </row>
    <row r="26" spans="1:19" ht="24.95" customHeight="1" x14ac:dyDescent="0.15">
      <c r="A26" s="31">
        <v>24</v>
      </c>
      <c r="B26" s="31">
        <v>21</v>
      </c>
      <c r="C26" s="32" t="s">
        <v>36</v>
      </c>
      <c r="D26" s="33">
        <v>312.16000000000003</v>
      </c>
      <c r="E26" s="33">
        <v>657.58</v>
      </c>
      <c r="F26" s="34">
        <f t="shared" ref="F26:F33" si="3">(D26-E26)/E26</f>
        <v>-0.5252896985918063</v>
      </c>
      <c r="G26" s="35">
        <v>45</v>
      </c>
      <c r="H26" s="35">
        <v>4</v>
      </c>
      <c r="I26" s="35">
        <f t="shared" ref="I26:I32" si="4">G26/H26</f>
        <v>11.25</v>
      </c>
      <c r="J26" s="35">
        <v>2</v>
      </c>
      <c r="K26" s="36">
        <v>4</v>
      </c>
      <c r="L26" s="33">
        <v>8531.85</v>
      </c>
      <c r="M26" s="35">
        <v>1396</v>
      </c>
      <c r="N26" s="56">
        <v>45030</v>
      </c>
      <c r="O26" s="59" t="s">
        <v>37</v>
      </c>
    </row>
    <row r="27" spans="1:19" ht="24.95" customHeight="1" x14ac:dyDescent="0.15">
      <c r="A27" s="13">
        <v>25</v>
      </c>
      <c r="B27" s="31">
        <v>35</v>
      </c>
      <c r="C27" s="32" t="s">
        <v>90</v>
      </c>
      <c r="D27" s="33">
        <v>312</v>
      </c>
      <c r="E27" s="33">
        <v>72.099999999999994</v>
      </c>
      <c r="F27" s="34">
        <f t="shared" si="3"/>
        <v>3.3273231622746189</v>
      </c>
      <c r="G27" s="35">
        <v>58</v>
      </c>
      <c r="H27" s="35">
        <v>3</v>
      </c>
      <c r="I27" s="35">
        <f t="shared" si="4"/>
        <v>19.333333333333332</v>
      </c>
      <c r="J27" s="35">
        <v>3</v>
      </c>
      <c r="K27" s="36" t="s">
        <v>17</v>
      </c>
      <c r="L27" s="33">
        <v>39999.880000000005</v>
      </c>
      <c r="M27" s="35">
        <v>6788</v>
      </c>
      <c r="N27" s="56">
        <v>44678</v>
      </c>
      <c r="O27" s="59" t="s">
        <v>33</v>
      </c>
    </row>
    <row r="28" spans="1:19" s="43" customFormat="1" ht="24.95" customHeight="1" x14ac:dyDescent="0.15">
      <c r="A28" s="31">
        <v>26</v>
      </c>
      <c r="B28" s="31">
        <v>19</v>
      </c>
      <c r="C28" s="41" t="s">
        <v>68</v>
      </c>
      <c r="D28" s="33">
        <v>252.8</v>
      </c>
      <c r="E28" s="33">
        <v>689.8</v>
      </c>
      <c r="F28" s="34">
        <f t="shared" si="3"/>
        <v>-0.63351696143809799</v>
      </c>
      <c r="G28" s="35">
        <v>45</v>
      </c>
      <c r="H28" s="35">
        <v>5</v>
      </c>
      <c r="I28" s="35">
        <f t="shared" si="4"/>
        <v>9</v>
      </c>
      <c r="J28" s="35">
        <v>3</v>
      </c>
      <c r="K28" s="36">
        <v>3</v>
      </c>
      <c r="L28" s="33">
        <v>1971.2</v>
      </c>
      <c r="M28" s="35">
        <v>347</v>
      </c>
      <c r="N28" s="56">
        <v>45043</v>
      </c>
      <c r="O28" s="67" t="s">
        <v>69</v>
      </c>
    </row>
    <row r="29" spans="1:19" ht="24.95" customHeight="1" x14ac:dyDescent="0.15">
      <c r="A29" s="13">
        <v>27</v>
      </c>
      <c r="B29" s="31">
        <v>25</v>
      </c>
      <c r="C29" s="32" t="s">
        <v>35</v>
      </c>
      <c r="D29" s="33">
        <v>224.32</v>
      </c>
      <c r="E29" s="33">
        <v>261.05</v>
      </c>
      <c r="F29" s="34">
        <f t="shared" si="3"/>
        <v>-0.14070101513120098</v>
      </c>
      <c r="G29" s="35">
        <v>32</v>
      </c>
      <c r="H29" s="35">
        <v>2</v>
      </c>
      <c r="I29" s="35">
        <f t="shared" si="4"/>
        <v>16</v>
      </c>
      <c r="J29" s="35">
        <v>1</v>
      </c>
      <c r="K29" s="36">
        <v>5</v>
      </c>
      <c r="L29" s="33">
        <v>33742.620000000003</v>
      </c>
      <c r="M29" s="35">
        <v>5143</v>
      </c>
      <c r="N29" s="56">
        <v>45023</v>
      </c>
      <c r="O29" s="59" t="s">
        <v>33</v>
      </c>
    </row>
    <row r="30" spans="1:19" ht="24.95" customHeight="1" x14ac:dyDescent="0.15">
      <c r="A30" s="31">
        <v>28</v>
      </c>
      <c r="B30" s="31">
        <v>22</v>
      </c>
      <c r="C30" s="41" t="s">
        <v>41</v>
      </c>
      <c r="D30" s="33">
        <v>173.9</v>
      </c>
      <c r="E30" s="33">
        <v>526.29999999999995</v>
      </c>
      <c r="F30" s="34">
        <f t="shared" si="3"/>
        <v>-0.66958008740262209</v>
      </c>
      <c r="G30" s="35">
        <v>29</v>
      </c>
      <c r="H30" s="35">
        <v>2</v>
      </c>
      <c r="I30" s="35">
        <f t="shared" si="4"/>
        <v>14.5</v>
      </c>
      <c r="J30" s="35">
        <v>2</v>
      </c>
      <c r="K30" s="36">
        <v>11</v>
      </c>
      <c r="L30" s="33">
        <v>129350.88</v>
      </c>
      <c r="M30" s="35">
        <v>20296</v>
      </c>
      <c r="N30" s="56">
        <v>44981</v>
      </c>
      <c r="O30" s="67" t="s">
        <v>39</v>
      </c>
    </row>
    <row r="31" spans="1:19" s="43" customFormat="1" ht="24.95" customHeight="1" x14ac:dyDescent="0.15">
      <c r="A31" s="13">
        <v>29</v>
      </c>
      <c r="B31" s="31">
        <v>28</v>
      </c>
      <c r="C31" s="32" t="s">
        <v>47</v>
      </c>
      <c r="D31" s="33">
        <v>153.80000000000001</v>
      </c>
      <c r="E31" s="33">
        <v>219</v>
      </c>
      <c r="F31" s="34">
        <f t="shared" si="3"/>
        <v>-0.29771689497716891</v>
      </c>
      <c r="G31" s="35">
        <v>22</v>
      </c>
      <c r="H31" s="35">
        <v>1</v>
      </c>
      <c r="I31" s="35">
        <f t="shared" si="4"/>
        <v>22</v>
      </c>
      <c r="J31" s="35">
        <v>1</v>
      </c>
      <c r="K31" s="36">
        <v>12</v>
      </c>
      <c r="L31" s="33">
        <v>276058.93</v>
      </c>
      <c r="M31" s="35">
        <v>46321</v>
      </c>
      <c r="N31" s="56">
        <v>44973</v>
      </c>
      <c r="O31" s="59" t="s">
        <v>25</v>
      </c>
    </row>
    <row r="32" spans="1:19" s="43" customFormat="1" ht="24.95" customHeight="1" x14ac:dyDescent="0.15">
      <c r="A32" s="31">
        <v>30</v>
      </c>
      <c r="B32" s="31">
        <v>15</v>
      </c>
      <c r="C32" s="32" t="s">
        <v>32</v>
      </c>
      <c r="D32" s="45">
        <v>142</v>
      </c>
      <c r="E32" s="45">
        <v>1558.61</v>
      </c>
      <c r="F32" s="34">
        <f t="shared" si="3"/>
        <v>-0.90889318046207834</v>
      </c>
      <c r="G32" s="46">
        <v>21</v>
      </c>
      <c r="H32" s="35">
        <v>2</v>
      </c>
      <c r="I32" s="35">
        <f t="shared" si="4"/>
        <v>10.5</v>
      </c>
      <c r="J32" s="35">
        <v>2</v>
      </c>
      <c r="K32" s="36">
        <v>3</v>
      </c>
      <c r="L32" s="45">
        <v>7567.36</v>
      </c>
      <c r="M32" s="46">
        <v>1240</v>
      </c>
      <c r="N32" s="56">
        <v>45037</v>
      </c>
      <c r="O32" s="59" t="s">
        <v>33</v>
      </c>
    </row>
    <row r="33" spans="1:15" s="43" customFormat="1" ht="24.95" customHeight="1" x14ac:dyDescent="0.15">
      <c r="A33" s="13">
        <v>31</v>
      </c>
      <c r="B33" s="31">
        <v>14</v>
      </c>
      <c r="C33" s="41" t="s">
        <v>66</v>
      </c>
      <c r="D33" s="33">
        <v>138.1</v>
      </c>
      <c r="E33" s="33">
        <v>2470.14</v>
      </c>
      <c r="F33" s="34">
        <f t="shared" si="3"/>
        <v>-0.94409223768693273</v>
      </c>
      <c r="G33" s="35">
        <v>21</v>
      </c>
      <c r="H33" s="35" t="s">
        <v>17</v>
      </c>
      <c r="I33" s="35" t="s">
        <v>17</v>
      </c>
      <c r="J33" s="35">
        <v>2</v>
      </c>
      <c r="K33" s="36">
        <v>2</v>
      </c>
      <c r="L33" s="33">
        <v>3891.05</v>
      </c>
      <c r="M33" s="35">
        <v>614</v>
      </c>
      <c r="N33" s="56">
        <v>45044</v>
      </c>
      <c r="O33" s="67" t="s">
        <v>67</v>
      </c>
    </row>
    <row r="34" spans="1:15" s="43" customFormat="1" ht="24.95" customHeight="1" x14ac:dyDescent="0.15">
      <c r="A34" s="31">
        <v>32</v>
      </c>
      <c r="B34" s="13" t="s">
        <v>17</v>
      </c>
      <c r="C34" s="21" t="s">
        <v>91</v>
      </c>
      <c r="D34" s="15">
        <v>73.8</v>
      </c>
      <c r="E34" s="16" t="s">
        <v>17</v>
      </c>
      <c r="F34" s="16" t="s">
        <v>17</v>
      </c>
      <c r="G34" s="17">
        <v>14</v>
      </c>
      <c r="H34" s="17">
        <v>1</v>
      </c>
      <c r="I34" s="17" t="s">
        <v>17</v>
      </c>
      <c r="J34" s="17" t="s">
        <v>17</v>
      </c>
      <c r="K34" s="18" t="s">
        <v>17</v>
      </c>
      <c r="L34" s="15">
        <v>810</v>
      </c>
      <c r="M34" s="17">
        <v>164</v>
      </c>
      <c r="N34" s="57">
        <v>45012</v>
      </c>
      <c r="O34" s="68" t="s">
        <v>73</v>
      </c>
    </row>
    <row r="35" spans="1:15" s="43" customFormat="1" ht="24.95" customHeight="1" x14ac:dyDescent="0.15">
      <c r="A35" s="13">
        <v>33</v>
      </c>
      <c r="B35" s="31">
        <v>38</v>
      </c>
      <c r="C35" s="41" t="s">
        <v>80</v>
      </c>
      <c r="D35" s="33">
        <v>65</v>
      </c>
      <c r="E35" s="33">
        <v>14</v>
      </c>
      <c r="F35" s="34">
        <f t="shared" ref="F35:F40" si="5">(D35-E35)/E35</f>
        <v>3.6428571428571428</v>
      </c>
      <c r="G35" s="35">
        <v>11</v>
      </c>
      <c r="H35" s="35">
        <v>1</v>
      </c>
      <c r="I35" s="35">
        <f>G35/H35</f>
        <v>11</v>
      </c>
      <c r="J35" s="35" t="s">
        <v>17</v>
      </c>
      <c r="K35" s="36">
        <v>7</v>
      </c>
      <c r="L35" s="33">
        <v>1023</v>
      </c>
      <c r="M35" s="35">
        <v>204</v>
      </c>
      <c r="N35" s="56">
        <v>45012</v>
      </c>
      <c r="O35" s="67" t="s">
        <v>73</v>
      </c>
    </row>
    <row r="36" spans="1:15" s="43" customFormat="1" ht="24.6" customHeight="1" x14ac:dyDescent="0.15">
      <c r="A36" s="31">
        <v>34</v>
      </c>
      <c r="B36" s="31">
        <v>33</v>
      </c>
      <c r="C36" s="32" t="s">
        <v>50</v>
      </c>
      <c r="D36" s="33">
        <v>54.8</v>
      </c>
      <c r="E36" s="33">
        <v>88.6</v>
      </c>
      <c r="F36" s="34">
        <f t="shared" si="5"/>
        <v>-0.38148984198645597</v>
      </c>
      <c r="G36" s="35">
        <v>8</v>
      </c>
      <c r="H36" s="35">
        <v>2</v>
      </c>
      <c r="I36" s="35">
        <f>G36/H36</f>
        <v>4</v>
      </c>
      <c r="J36" s="35">
        <v>2</v>
      </c>
      <c r="K36" s="36">
        <v>4</v>
      </c>
      <c r="L36" s="33">
        <v>1121.5</v>
      </c>
      <c r="M36" s="35">
        <v>218</v>
      </c>
      <c r="N36" s="56">
        <v>45030</v>
      </c>
      <c r="O36" s="59" t="s">
        <v>30</v>
      </c>
    </row>
    <row r="37" spans="1:15" s="43" customFormat="1" ht="24.95" customHeight="1" x14ac:dyDescent="0.15">
      <c r="A37" s="13">
        <v>35</v>
      </c>
      <c r="B37" s="31">
        <v>31</v>
      </c>
      <c r="C37" s="41" t="s">
        <v>81</v>
      </c>
      <c r="D37" s="33">
        <v>48</v>
      </c>
      <c r="E37" s="33">
        <v>96</v>
      </c>
      <c r="F37" s="34">
        <f t="shared" si="5"/>
        <v>-0.5</v>
      </c>
      <c r="G37" s="35">
        <v>7</v>
      </c>
      <c r="H37" s="35">
        <v>1</v>
      </c>
      <c r="I37" s="35">
        <f>G37/H37</f>
        <v>7</v>
      </c>
      <c r="J37" s="35" t="s">
        <v>17</v>
      </c>
      <c r="K37" s="36">
        <v>7</v>
      </c>
      <c r="L37" s="33">
        <v>126361</v>
      </c>
      <c r="M37" s="35">
        <v>18974</v>
      </c>
      <c r="N37" s="56">
        <v>44967</v>
      </c>
      <c r="O37" s="67" t="s">
        <v>73</v>
      </c>
    </row>
    <row r="38" spans="1:15" ht="24.95" customHeight="1" x14ac:dyDescent="0.15">
      <c r="A38" s="31">
        <v>36</v>
      </c>
      <c r="B38" s="31">
        <v>29</v>
      </c>
      <c r="C38" s="41" t="s">
        <v>75</v>
      </c>
      <c r="D38" s="33">
        <v>14</v>
      </c>
      <c r="E38" s="33">
        <v>153.30000000000001</v>
      </c>
      <c r="F38" s="34">
        <f t="shared" si="5"/>
        <v>-0.908675799086758</v>
      </c>
      <c r="G38" s="35">
        <v>4</v>
      </c>
      <c r="H38" s="35">
        <v>1</v>
      </c>
      <c r="I38" s="35">
        <f>G38/H38</f>
        <v>4</v>
      </c>
      <c r="J38" s="35" t="s">
        <v>17</v>
      </c>
      <c r="K38" s="36">
        <v>7</v>
      </c>
      <c r="L38" s="33">
        <v>19309.23</v>
      </c>
      <c r="M38" s="35">
        <v>2205</v>
      </c>
      <c r="N38" s="56">
        <v>45012</v>
      </c>
      <c r="O38" s="67" t="s">
        <v>73</v>
      </c>
    </row>
    <row r="39" spans="1:15" ht="24.95" customHeight="1" x14ac:dyDescent="0.15">
      <c r="A39" s="13">
        <v>37</v>
      </c>
      <c r="B39" s="31">
        <v>30</v>
      </c>
      <c r="C39" s="41" t="s">
        <v>79</v>
      </c>
      <c r="D39" s="33">
        <v>7.4</v>
      </c>
      <c r="E39" s="33">
        <v>127.7</v>
      </c>
      <c r="F39" s="34">
        <f t="shared" si="5"/>
        <v>-0.94205168363351599</v>
      </c>
      <c r="G39" s="35">
        <v>1</v>
      </c>
      <c r="H39" s="35">
        <v>1</v>
      </c>
      <c r="I39" s="35">
        <f>G39/H39</f>
        <v>1</v>
      </c>
      <c r="J39" s="35" t="s">
        <v>17</v>
      </c>
      <c r="K39" s="36">
        <v>7</v>
      </c>
      <c r="L39" s="33">
        <v>9197</v>
      </c>
      <c r="M39" s="35">
        <v>1584</v>
      </c>
      <c r="N39" s="56">
        <v>45012</v>
      </c>
      <c r="O39" s="67" t="s">
        <v>73</v>
      </c>
    </row>
    <row r="40" spans="1:15" s="69" customFormat="1" ht="24.95" customHeight="1" x14ac:dyDescent="0.2">
      <c r="A40" s="51" t="s">
        <v>56</v>
      </c>
      <c r="B40" s="70"/>
      <c r="C40" s="77" t="s">
        <v>96</v>
      </c>
      <c r="D40" s="52">
        <f>SUBTOTAL(109,Table1324[Pajamos 
(GBO)])</f>
        <v>171383.13999999993</v>
      </c>
      <c r="E40" s="72" t="s">
        <v>97</v>
      </c>
      <c r="F40" s="74">
        <f t="shared" si="5"/>
        <v>-0.11344682744136521</v>
      </c>
      <c r="G40" s="78">
        <f>SUBTOTAL(109,Table1324[Žiūrovų sk. 
(ADM)])</f>
        <v>26196</v>
      </c>
      <c r="H40" s="70"/>
      <c r="I40" s="70"/>
      <c r="J40" s="70"/>
      <c r="K40" s="70"/>
      <c r="L40" s="52"/>
      <c r="M40" s="78"/>
      <c r="N40" s="53"/>
      <c r="O40" s="79" t="s">
        <v>56</v>
      </c>
    </row>
    <row r="41" spans="1:15" hidden="1" x14ac:dyDescent="0.15">
      <c r="F41" s="4"/>
      <c r="L41" s="3"/>
    </row>
    <row r="42" spans="1:15" hidden="1" x14ac:dyDescent="0.15">
      <c r="F42" s="4"/>
      <c r="L42" s="3"/>
    </row>
    <row r="43" spans="1:15" hidden="1" x14ac:dyDescent="0.15">
      <c r="F43" s="4"/>
      <c r="L43" s="3"/>
    </row>
    <row r="44" spans="1:15" hidden="1" x14ac:dyDescent="0.15">
      <c r="F44" s="4"/>
      <c r="L44" s="3"/>
    </row>
    <row r="45" spans="1:15" hidden="1" x14ac:dyDescent="0.15">
      <c r="F45" s="4"/>
      <c r="L45" s="3"/>
    </row>
    <row r="46" spans="1:15" hidden="1" x14ac:dyDescent="0.15">
      <c r="F46" s="4"/>
      <c r="L46" s="3"/>
    </row>
    <row r="47" spans="1:15" hidden="1" x14ac:dyDescent="0.15">
      <c r="F47" s="4"/>
      <c r="L47" s="3"/>
    </row>
    <row r="48" spans="1:15" hidden="1" x14ac:dyDescent="0.15">
      <c r="F48" s="4"/>
      <c r="L48" s="3"/>
    </row>
    <row r="49" spans="6:12" hidden="1" x14ac:dyDescent="0.15">
      <c r="F49" s="4"/>
      <c r="L49" s="3"/>
    </row>
    <row r="50" spans="6:12" hidden="1" x14ac:dyDescent="0.15">
      <c r="F50" s="4"/>
      <c r="L50" s="3"/>
    </row>
    <row r="51" spans="6:12" hidden="1" x14ac:dyDescent="0.15">
      <c r="F51" s="4"/>
      <c r="L51" s="3"/>
    </row>
    <row r="52" spans="6:12" hidden="1" x14ac:dyDescent="0.15">
      <c r="F52" s="4"/>
      <c r="L52" s="3"/>
    </row>
    <row r="53" spans="6:12" hidden="1" x14ac:dyDescent="0.15">
      <c r="F53" s="4"/>
    </row>
    <row r="54" spans="6:12" hidden="1" x14ac:dyDescent="0.15">
      <c r="F54" s="4"/>
    </row>
    <row r="55" spans="6:12" hidden="1" x14ac:dyDescent="0.15">
      <c r="F55" s="4"/>
    </row>
    <row r="56" spans="6:12" hidden="1" x14ac:dyDescent="0.15">
      <c r="F56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606E6-8453-48A4-96B7-D3F2ED6B9325}">
  <sheetPr>
    <pageSetUpPr fitToPage="1"/>
  </sheetPr>
  <dimension ref="A1:XFC58"/>
  <sheetViews>
    <sheetView topLeftCell="A18" zoomScale="60" zoomScaleNormal="60" workbookViewId="0">
      <selection activeCell="N36" sqref="N36:O36"/>
    </sheetView>
  </sheetViews>
  <sheetFormatPr defaultColWidth="18.28515625" defaultRowHeight="11.25" x14ac:dyDescent="0.15"/>
  <cols>
    <col min="1" max="2" width="4.7109375" style="1" customWidth="1"/>
    <col min="3" max="3" width="30.7109375" style="1" customWidth="1"/>
    <col min="4" max="14" width="20.7109375" style="1" customWidth="1"/>
    <col min="15" max="15" width="30.7109375" style="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100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75" customHeight="1" thickBot="1" x14ac:dyDescent="0.25">
      <c r="A2" s="47" t="s">
        <v>0</v>
      </c>
      <c r="B2" s="48" t="s">
        <v>1</v>
      </c>
      <c r="C2" s="49" t="s">
        <v>2</v>
      </c>
      <c r="D2" s="49" t="s">
        <v>3</v>
      </c>
      <c r="E2" s="49" t="s">
        <v>4</v>
      </c>
      <c r="F2" s="49" t="s">
        <v>5</v>
      </c>
      <c r="G2" s="49" t="s">
        <v>6</v>
      </c>
      <c r="H2" s="49" t="s">
        <v>7</v>
      </c>
      <c r="I2" s="49" t="s">
        <v>8</v>
      </c>
      <c r="J2" s="49" t="s">
        <v>9</v>
      </c>
      <c r="K2" s="49" t="s">
        <v>10</v>
      </c>
      <c r="L2" s="49" t="s">
        <v>11</v>
      </c>
      <c r="M2" s="49" t="s">
        <v>12</v>
      </c>
      <c r="N2" s="49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1">
        <v>1</v>
      </c>
      <c r="C3" s="32" t="s">
        <v>16</v>
      </c>
      <c r="D3" s="33">
        <v>47078.53</v>
      </c>
      <c r="E3" s="33">
        <v>59502.160000000011</v>
      </c>
      <c r="F3" s="34">
        <f>(D3-E3)/E3</f>
        <v>-0.20879292449215306</v>
      </c>
      <c r="G3" s="35">
        <v>9081</v>
      </c>
      <c r="H3" s="31">
        <v>160</v>
      </c>
      <c r="I3" s="36">
        <f>G3/H3</f>
        <v>56.756250000000001</v>
      </c>
      <c r="J3" s="31">
        <v>15</v>
      </c>
      <c r="K3" s="31">
        <v>2</v>
      </c>
      <c r="L3" s="33">
        <v>145560.45000000001</v>
      </c>
      <c r="M3" s="35">
        <v>28761</v>
      </c>
      <c r="N3" s="37">
        <v>45037</v>
      </c>
      <c r="O3" s="38" t="s">
        <v>18</v>
      </c>
    </row>
    <row r="4" spans="1:18" s="39" customFormat="1" ht="24.95" customHeight="1" x14ac:dyDescent="0.2">
      <c r="A4" s="31">
        <v>2</v>
      </c>
      <c r="B4" s="31">
        <v>2</v>
      </c>
      <c r="C4" s="32" t="s">
        <v>19</v>
      </c>
      <c r="D4" s="33">
        <v>46337.26</v>
      </c>
      <c r="E4" s="33">
        <v>43654.94</v>
      </c>
      <c r="F4" s="34">
        <f>(D4-E4)/E4</f>
        <v>6.1443676248323774E-2</v>
      </c>
      <c r="G4" s="35">
        <v>8001</v>
      </c>
      <c r="H4" s="36">
        <v>160</v>
      </c>
      <c r="I4" s="36">
        <f t="shared" ref="I4:I11" si="0">G4/H4</f>
        <v>50.006250000000001</v>
      </c>
      <c r="J4" s="31">
        <v>24</v>
      </c>
      <c r="K4" s="31">
        <v>4</v>
      </c>
      <c r="L4" s="33">
        <v>421870.51</v>
      </c>
      <c r="M4" s="35">
        <v>76092</v>
      </c>
      <c r="N4" s="37">
        <v>45023</v>
      </c>
      <c r="O4" s="38" t="s">
        <v>71</v>
      </c>
    </row>
    <row r="5" spans="1:18" s="39" customFormat="1" ht="24.95" customHeight="1" x14ac:dyDescent="0.2">
      <c r="A5" s="31">
        <v>3</v>
      </c>
      <c r="B5" s="13" t="s">
        <v>15</v>
      </c>
      <c r="C5" s="21" t="s">
        <v>63</v>
      </c>
      <c r="D5" s="15">
        <v>20045.3</v>
      </c>
      <c r="E5" s="15" t="s">
        <v>17</v>
      </c>
      <c r="F5" s="15" t="s">
        <v>17</v>
      </c>
      <c r="G5" s="17">
        <v>2506</v>
      </c>
      <c r="H5" s="13">
        <v>89</v>
      </c>
      <c r="I5" s="36">
        <f t="shared" si="0"/>
        <v>28.157303370786519</v>
      </c>
      <c r="J5" s="13">
        <v>15</v>
      </c>
      <c r="K5" s="13">
        <v>1</v>
      </c>
      <c r="L5" s="15">
        <v>21627.07</v>
      </c>
      <c r="M5" s="17">
        <v>2724</v>
      </c>
      <c r="N5" s="19">
        <v>45044</v>
      </c>
      <c r="O5" s="13" t="s">
        <v>25</v>
      </c>
      <c r="R5" s="31"/>
    </row>
    <row r="6" spans="1:18" s="39" customFormat="1" ht="24.95" customHeight="1" x14ac:dyDescent="0.2">
      <c r="A6" s="31">
        <v>4</v>
      </c>
      <c r="B6" s="31">
        <v>3</v>
      </c>
      <c r="C6" s="41" t="s">
        <v>20</v>
      </c>
      <c r="D6" s="45">
        <v>16630.16</v>
      </c>
      <c r="E6" s="45">
        <v>19146.009999999998</v>
      </c>
      <c r="F6" s="34">
        <f>(D6-E6)/E6</f>
        <v>-0.13140335767086714</v>
      </c>
      <c r="G6" s="46">
        <v>2328</v>
      </c>
      <c r="H6" s="35">
        <v>61</v>
      </c>
      <c r="I6" s="36">
        <f t="shared" si="0"/>
        <v>38.16393442622951</v>
      </c>
      <c r="J6" s="35">
        <v>12</v>
      </c>
      <c r="K6" s="35">
        <v>2</v>
      </c>
      <c r="L6" s="46">
        <v>49981.09</v>
      </c>
      <c r="M6" s="46">
        <v>7116</v>
      </c>
      <c r="N6" s="37">
        <v>45037</v>
      </c>
      <c r="O6" s="38" t="s">
        <v>21</v>
      </c>
      <c r="R6" s="31"/>
    </row>
    <row r="7" spans="1:18" s="39" customFormat="1" ht="24.95" customHeight="1" x14ac:dyDescent="0.2">
      <c r="A7" s="31">
        <v>5</v>
      </c>
      <c r="B7" s="13" t="s">
        <v>15</v>
      </c>
      <c r="C7" s="21" t="s">
        <v>62</v>
      </c>
      <c r="D7" s="42">
        <v>14078.06</v>
      </c>
      <c r="E7" s="15" t="s">
        <v>17</v>
      </c>
      <c r="F7" s="15" t="s">
        <v>17</v>
      </c>
      <c r="G7" s="40">
        <v>2638</v>
      </c>
      <c r="H7" s="17">
        <v>96</v>
      </c>
      <c r="I7" s="36">
        <f t="shared" si="0"/>
        <v>27.479166666666668</v>
      </c>
      <c r="J7" s="17">
        <v>19</v>
      </c>
      <c r="K7" s="17">
        <v>1</v>
      </c>
      <c r="L7" s="42">
        <v>14078.06</v>
      </c>
      <c r="M7" s="40">
        <v>2638</v>
      </c>
      <c r="N7" s="19">
        <v>45044</v>
      </c>
      <c r="O7" s="38" t="s">
        <v>33</v>
      </c>
      <c r="R7" s="31"/>
    </row>
    <row r="8" spans="1:18" s="39" customFormat="1" ht="24.95" customHeight="1" x14ac:dyDescent="0.2">
      <c r="A8" s="31">
        <v>6</v>
      </c>
      <c r="B8" s="31">
        <v>4</v>
      </c>
      <c r="C8" s="32" t="s">
        <v>22</v>
      </c>
      <c r="D8" s="33">
        <v>9617.69</v>
      </c>
      <c r="E8" s="33">
        <v>9830.73</v>
      </c>
      <c r="F8" s="34">
        <f>(D8-E8)/E8</f>
        <v>-2.1670822004062677E-2</v>
      </c>
      <c r="G8" s="35">
        <v>1308</v>
      </c>
      <c r="H8" s="36">
        <v>32</v>
      </c>
      <c r="I8" s="36">
        <f t="shared" si="0"/>
        <v>40.875</v>
      </c>
      <c r="J8" s="31">
        <v>7</v>
      </c>
      <c r="K8" s="31">
        <v>4</v>
      </c>
      <c r="L8" s="33">
        <v>122296.46</v>
      </c>
      <c r="M8" s="35">
        <v>17659</v>
      </c>
      <c r="N8" s="37">
        <v>45023</v>
      </c>
      <c r="O8" s="38" t="s">
        <v>23</v>
      </c>
      <c r="R8" s="31"/>
    </row>
    <row r="9" spans="1:18" s="39" customFormat="1" ht="24.95" customHeight="1" x14ac:dyDescent="0.2">
      <c r="A9" s="31">
        <v>7</v>
      </c>
      <c r="B9" s="31">
        <v>5</v>
      </c>
      <c r="C9" s="32" t="s">
        <v>24</v>
      </c>
      <c r="D9" s="33">
        <v>5292.17</v>
      </c>
      <c r="E9" s="33">
        <v>6837.2</v>
      </c>
      <c r="F9" s="34">
        <f>(D9-E9)/E9</f>
        <v>-0.22597408295793597</v>
      </c>
      <c r="G9" s="35">
        <v>720</v>
      </c>
      <c r="H9" s="36">
        <v>17</v>
      </c>
      <c r="I9" s="36">
        <f t="shared" si="0"/>
        <v>42.352941176470587</v>
      </c>
      <c r="J9" s="31">
        <v>7</v>
      </c>
      <c r="K9" s="31">
        <v>6</v>
      </c>
      <c r="L9" s="33">
        <v>313430.15000000002</v>
      </c>
      <c r="M9" s="35">
        <v>42962</v>
      </c>
      <c r="N9" s="37">
        <v>45009</v>
      </c>
      <c r="O9" s="38" t="s">
        <v>25</v>
      </c>
      <c r="R9" s="31"/>
    </row>
    <row r="10" spans="1:18" s="39" customFormat="1" ht="24.95" customHeight="1" x14ac:dyDescent="0.2">
      <c r="A10" s="31">
        <v>8</v>
      </c>
      <c r="B10" s="31">
        <v>6</v>
      </c>
      <c r="C10" s="32" t="s">
        <v>26</v>
      </c>
      <c r="D10" s="33">
        <v>4556.41</v>
      </c>
      <c r="E10" s="33">
        <v>6361.1</v>
      </c>
      <c r="F10" s="34">
        <f>(D10-E10)/E10</f>
        <v>-0.28370722044929342</v>
      </c>
      <c r="G10" s="35">
        <v>634</v>
      </c>
      <c r="H10" s="36">
        <v>20</v>
      </c>
      <c r="I10" s="36">
        <f t="shared" si="0"/>
        <v>31.7</v>
      </c>
      <c r="J10" s="31">
        <v>5</v>
      </c>
      <c r="K10" s="31">
        <v>3</v>
      </c>
      <c r="L10" s="33">
        <v>45297.16</v>
      </c>
      <c r="M10" s="35">
        <v>7132</v>
      </c>
      <c r="N10" s="37">
        <v>45030</v>
      </c>
      <c r="O10" s="38" t="s">
        <v>21</v>
      </c>
      <c r="R10" s="31"/>
    </row>
    <row r="11" spans="1:18" s="39" customFormat="1" ht="24.95" customHeight="1" x14ac:dyDescent="0.2">
      <c r="A11" s="31">
        <v>9</v>
      </c>
      <c r="B11" s="13" t="s">
        <v>15</v>
      </c>
      <c r="C11" s="21" t="s">
        <v>61</v>
      </c>
      <c r="D11" s="42">
        <v>4496.62</v>
      </c>
      <c r="E11" s="15" t="s">
        <v>17</v>
      </c>
      <c r="F11" s="15" t="s">
        <v>17</v>
      </c>
      <c r="G11" s="40">
        <v>703</v>
      </c>
      <c r="H11" s="17">
        <v>56</v>
      </c>
      <c r="I11" s="36">
        <f t="shared" si="0"/>
        <v>12.553571428571429</v>
      </c>
      <c r="J11" s="17">
        <v>21</v>
      </c>
      <c r="K11" s="17">
        <v>1</v>
      </c>
      <c r="L11" s="42">
        <v>5265.12</v>
      </c>
      <c r="M11" s="40">
        <v>824</v>
      </c>
      <c r="N11" s="19">
        <v>45044</v>
      </c>
      <c r="O11" s="38" t="s">
        <v>33</v>
      </c>
      <c r="R11" s="31"/>
    </row>
    <row r="12" spans="1:18" s="39" customFormat="1" ht="24.75" customHeight="1" x14ac:dyDescent="0.2">
      <c r="A12" s="31">
        <v>10</v>
      </c>
      <c r="B12" s="31">
        <v>7</v>
      </c>
      <c r="C12" s="32" t="s">
        <v>27</v>
      </c>
      <c r="D12" s="33">
        <v>4300</v>
      </c>
      <c r="E12" s="33">
        <v>5362</v>
      </c>
      <c r="F12" s="34">
        <f>(D12-E12)/E12</f>
        <v>-0.1980604252144722</v>
      </c>
      <c r="G12" s="35">
        <v>604</v>
      </c>
      <c r="H12" s="36" t="s">
        <v>17</v>
      </c>
      <c r="I12" s="36" t="s">
        <v>17</v>
      </c>
      <c r="J12" s="31">
        <v>9</v>
      </c>
      <c r="K12" s="31">
        <v>3</v>
      </c>
      <c r="L12" s="33">
        <v>47437</v>
      </c>
      <c r="M12" s="35">
        <v>7132</v>
      </c>
      <c r="N12" s="37">
        <v>45030</v>
      </c>
      <c r="O12" s="38" t="s">
        <v>28</v>
      </c>
      <c r="R12" s="31"/>
    </row>
    <row r="13" spans="1:18" s="39" customFormat="1" ht="24.95" customHeight="1" x14ac:dyDescent="0.2">
      <c r="A13" s="31">
        <v>11</v>
      </c>
      <c r="B13" s="31">
        <v>8</v>
      </c>
      <c r="C13" s="32" t="s">
        <v>29</v>
      </c>
      <c r="D13" s="33">
        <v>3344</v>
      </c>
      <c r="E13" s="33">
        <v>4428</v>
      </c>
      <c r="F13" s="34">
        <f>(D13-E13)/E13</f>
        <v>-0.24480578139114725</v>
      </c>
      <c r="G13" s="35">
        <v>700</v>
      </c>
      <c r="H13" s="31" t="s">
        <v>17</v>
      </c>
      <c r="I13" s="36" t="s">
        <v>17</v>
      </c>
      <c r="J13" s="31">
        <v>12</v>
      </c>
      <c r="K13" s="31">
        <v>2</v>
      </c>
      <c r="L13" s="33">
        <v>9475</v>
      </c>
      <c r="M13" s="35">
        <v>1946</v>
      </c>
      <c r="N13" s="37">
        <v>45037</v>
      </c>
      <c r="O13" s="38" t="s">
        <v>30</v>
      </c>
      <c r="R13" s="31"/>
    </row>
    <row r="14" spans="1:18" s="39" customFormat="1" ht="24.95" customHeight="1" x14ac:dyDescent="0.2">
      <c r="A14" s="31">
        <v>12</v>
      </c>
      <c r="B14" s="31">
        <v>11</v>
      </c>
      <c r="C14" s="32" t="s">
        <v>34</v>
      </c>
      <c r="D14" s="33">
        <v>3291.93</v>
      </c>
      <c r="E14" s="33">
        <v>2501.0500000000002</v>
      </c>
      <c r="F14" s="34">
        <f>(D14-E14)/E14</f>
        <v>0.31621918794106457</v>
      </c>
      <c r="G14" s="35">
        <v>478</v>
      </c>
      <c r="H14" s="36">
        <v>15</v>
      </c>
      <c r="I14" s="36">
        <f>G14/H14</f>
        <v>31.866666666666667</v>
      </c>
      <c r="J14" s="31">
        <v>3</v>
      </c>
      <c r="K14" s="31">
        <v>5</v>
      </c>
      <c r="L14" s="33">
        <v>64782.42</v>
      </c>
      <c r="M14" s="35">
        <v>9742</v>
      </c>
      <c r="N14" s="37">
        <v>45016</v>
      </c>
      <c r="O14" s="38" t="s">
        <v>70</v>
      </c>
      <c r="R14" s="31"/>
    </row>
    <row r="15" spans="1:18" s="39" customFormat="1" ht="24.95" customHeight="1" x14ac:dyDescent="0.2">
      <c r="A15" s="31">
        <v>13</v>
      </c>
      <c r="B15" s="31">
        <v>9</v>
      </c>
      <c r="C15" s="32" t="s">
        <v>31</v>
      </c>
      <c r="D15" s="33">
        <v>2490.61</v>
      </c>
      <c r="E15" s="33">
        <v>4195.53</v>
      </c>
      <c r="F15" s="34">
        <f>(D15-E15)/E15</f>
        <v>-0.40636582267317828</v>
      </c>
      <c r="G15" s="35">
        <v>388</v>
      </c>
      <c r="H15" s="36">
        <v>17</v>
      </c>
      <c r="I15" s="36">
        <f>G15/H15</f>
        <v>22.823529411764707</v>
      </c>
      <c r="J15" s="31">
        <v>5</v>
      </c>
      <c r="K15" s="31">
        <v>3</v>
      </c>
      <c r="L15" s="33">
        <v>31578.400000000001</v>
      </c>
      <c r="M15" s="35">
        <v>4936</v>
      </c>
      <c r="N15" s="37">
        <v>45030</v>
      </c>
      <c r="O15" s="38" t="s">
        <v>23</v>
      </c>
      <c r="R15" s="31"/>
    </row>
    <row r="16" spans="1:18" s="39" customFormat="1" ht="24.95" customHeight="1" x14ac:dyDescent="0.2">
      <c r="A16" s="31">
        <v>14</v>
      </c>
      <c r="B16" s="13" t="s">
        <v>15</v>
      </c>
      <c r="C16" s="21" t="s">
        <v>66</v>
      </c>
      <c r="D16" s="15">
        <v>2470.14</v>
      </c>
      <c r="E16" s="15" t="s">
        <v>17</v>
      </c>
      <c r="F16" s="15" t="s">
        <v>17</v>
      </c>
      <c r="G16" s="17">
        <v>384</v>
      </c>
      <c r="H16" s="13" t="s">
        <v>17</v>
      </c>
      <c r="I16" s="13" t="s">
        <v>17</v>
      </c>
      <c r="J16" s="13">
        <v>7</v>
      </c>
      <c r="K16" s="13">
        <v>1</v>
      </c>
      <c r="L16" s="15">
        <v>2470.14</v>
      </c>
      <c r="M16" s="17">
        <v>384</v>
      </c>
      <c r="N16" s="19">
        <v>45044</v>
      </c>
      <c r="O16" s="13" t="s">
        <v>67</v>
      </c>
      <c r="R16" s="31"/>
    </row>
    <row r="17" spans="1:19" s="39" customFormat="1" ht="24.95" customHeight="1" x14ac:dyDescent="0.2">
      <c r="A17" s="31">
        <v>15</v>
      </c>
      <c r="B17" s="31">
        <v>10</v>
      </c>
      <c r="C17" s="32" t="s">
        <v>32</v>
      </c>
      <c r="D17" s="45">
        <v>1558.61</v>
      </c>
      <c r="E17" s="45">
        <v>3139.08</v>
      </c>
      <c r="F17" s="34">
        <f>(D17-E17)/E17</f>
        <v>-0.50348191189775349</v>
      </c>
      <c r="G17" s="46">
        <v>225</v>
      </c>
      <c r="H17" s="35">
        <v>9</v>
      </c>
      <c r="I17" s="36">
        <f>G17/H17</f>
        <v>25</v>
      </c>
      <c r="J17" s="35">
        <v>6</v>
      </c>
      <c r="K17" s="35">
        <v>2</v>
      </c>
      <c r="L17" s="46">
        <v>6635.2199999999993</v>
      </c>
      <c r="M17" s="46">
        <v>1091</v>
      </c>
      <c r="N17" s="37">
        <v>45037</v>
      </c>
      <c r="O17" s="38" t="s">
        <v>33</v>
      </c>
      <c r="R17" s="31"/>
    </row>
    <row r="18" spans="1:19" s="39" customFormat="1" ht="24.95" customHeight="1" x14ac:dyDescent="0.2">
      <c r="A18" s="31">
        <v>16</v>
      </c>
      <c r="B18" s="13" t="s">
        <v>17</v>
      </c>
      <c r="C18" s="21" t="s">
        <v>72</v>
      </c>
      <c r="D18" s="15">
        <v>1247.4000000000001</v>
      </c>
      <c r="E18" s="15" t="s">
        <v>17</v>
      </c>
      <c r="F18" s="15" t="s">
        <v>17</v>
      </c>
      <c r="G18" s="17">
        <v>212</v>
      </c>
      <c r="H18" s="13">
        <v>8</v>
      </c>
      <c r="I18" s="36">
        <f t="shared" ref="I18:I40" si="1">G18/H18</f>
        <v>26.5</v>
      </c>
      <c r="J18" s="13">
        <v>6</v>
      </c>
      <c r="K18" s="13">
        <v>6</v>
      </c>
      <c r="L18" s="15">
        <v>54340.4</v>
      </c>
      <c r="M18" s="17">
        <v>7164</v>
      </c>
      <c r="N18" s="19">
        <v>45012</v>
      </c>
      <c r="O18" s="13" t="s">
        <v>73</v>
      </c>
      <c r="R18" s="31"/>
    </row>
    <row r="19" spans="1:19" s="39" customFormat="1" ht="24.95" customHeight="1" x14ac:dyDescent="0.2">
      <c r="A19" s="31">
        <v>17</v>
      </c>
      <c r="B19" s="13" t="s">
        <v>17</v>
      </c>
      <c r="C19" s="21" t="s">
        <v>74</v>
      </c>
      <c r="D19" s="15">
        <v>740.78</v>
      </c>
      <c r="E19" s="15" t="s">
        <v>17</v>
      </c>
      <c r="F19" s="15" t="s">
        <v>17</v>
      </c>
      <c r="G19" s="17">
        <v>121</v>
      </c>
      <c r="H19" s="13">
        <v>7</v>
      </c>
      <c r="I19" s="36">
        <f t="shared" si="1"/>
        <v>17.285714285714285</v>
      </c>
      <c r="J19" s="13">
        <v>4</v>
      </c>
      <c r="K19" s="13">
        <v>6</v>
      </c>
      <c r="L19" s="15">
        <v>44231</v>
      </c>
      <c r="M19" s="17">
        <v>5074</v>
      </c>
      <c r="N19" s="19">
        <v>45012</v>
      </c>
      <c r="O19" s="13" t="s">
        <v>73</v>
      </c>
      <c r="R19" s="31"/>
    </row>
    <row r="20" spans="1:19" s="39" customFormat="1" ht="24.95" customHeight="1" x14ac:dyDescent="0.2">
      <c r="A20" s="31">
        <v>18</v>
      </c>
      <c r="B20" s="31">
        <v>18</v>
      </c>
      <c r="C20" s="32" t="s">
        <v>42</v>
      </c>
      <c r="D20" s="33">
        <v>711.8</v>
      </c>
      <c r="E20" s="33">
        <v>634.70000000000005</v>
      </c>
      <c r="F20" s="34">
        <f>(D20-E20)/E20</f>
        <v>0.1214747124625806</v>
      </c>
      <c r="G20" s="35">
        <v>115</v>
      </c>
      <c r="H20" s="36">
        <v>5</v>
      </c>
      <c r="I20" s="36">
        <f t="shared" si="1"/>
        <v>23</v>
      </c>
      <c r="J20" s="31">
        <v>2</v>
      </c>
      <c r="K20" s="31">
        <v>9</v>
      </c>
      <c r="L20" s="33">
        <v>226520.72000000003</v>
      </c>
      <c r="M20" s="35">
        <v>35494</v>
      </c>
      <c r="N20" s="37">
        <v>44988</v>
      </c>
      <c r="O20" s="38" t="s">
        <v>43</v>
      </c>
      <c r="R20" s="31"/>
    </row>
    <row r="21" spans="1:19" s="39" customFormat="1" ht="24.75" customHeight="1" x14ac:dyDescent="0.2">
      <c r="A21" s="31">
        <v>19</v>
      </c>
      <c r="B21" s="13">
        <v>19</v>
      </c>
      <c r="C21" s="21" t="s">
        <v>68</v>
      </c>
      <c r="D21" s="15">
        <v>689.8</v>
      </c>
      <c r="E21" s="15" t="s">
        <v>17</v>
      </c>
      <c r="F21" s="15" t="s">
        <v>17</v>
      </c>
      <c r="G21" s="17">
        <v>138</v>
      </c>
      <c r="H21" s="13">
        <v>3</v>
      </c>
      <c r="I21" s="36">
        <f t="shared" si="1"/>
        <v>46</v>
      </c>
      <c r="J21" s="13">
        <v>2</v>
      </c>
      <c r="K21" s="13">
        <v>2</v>
      </c>
      <c r="L21" s="15">
        <v>1162</v>
      </c>
      <c r="M21" s="17">
        <v>211</v>
      </c>
      <c r="N21" s="19">
        <v>45043</v>
      </c>
      <c r="O21" s="13" t="s">
        <v>69</v>
      </c>
      <c r="R21" s="31"/>
    </row>
    <row r="22" spans="1:19" s="43" customFormat="1" ht="24.75" customHeight="1" x14ac:dyDescent="0.15">
      <c r="A22" s="31">
        <v>20</v>
      </c>
      <c r="B22" s="13" t="s">
        <v>15</v>
      </c>
      <c r="C22" s="14" t="s">
        <v>57</v>
      </c>
      <c r="D22" s="15">
        <v>684.65</v>
      </c>
      <c r="E22" s="15" t="s">
        <v>17</v>
      </c>
      <c r="F22" s="15" t="s">
        <v>17</v>
      </c>
      <c r="G22" s="17">
        <v>108</v>
      </c>
      <c r="H22" s="18">
        <v>8</v>
      </c>
      <c r="I22" s="36">
        <f t="shared" si="1"/>
        <v>13.5</v>
      </c>
      <c r="J22" s="13">
        <v>4</v>
      </c>
      <c r="K22" s="13">
        <v>1</v>
      </c>
      <c r="L22" s="15">
        <v>684.65</v>
      </c>
      <c r="M22" s="17">
        <v>108</v>
      </c>
      <c r="N22" s="19">
        <v>45044</v>
      </c>
      <c r="O22" s="38" t="s">
        <v>30</v>
      </c>
      <c r="R22" s="31"/>
      <c r="S22" s="39"/>
    </row>
    <row r="23" spans="1:19" s="43" customFormat="1" ht="24.95" customHeight="1" x14ac:dyDescent="0.15">
      <c r="A23" s="31">
        <v>21</v>
      </c>
      <c r="B23" s="31">
        <v>13</v>
      </c>
      <c r="C23" s="32" t="s">
        <v>36</v>
      </c>
      <c r="D23" s="33">
        <v>657.58</v>
      </c>
      <c r="E23" s="33">
        <v>959.58</v>
      </c>
      <c r="F23" s="34">
        <f>(D23-E23)/E23</f>
        <v>-0.31472102378123762</v>
      </c>
      <c r="G23" s="35">
        <v>83</v>
      </c>
      <c r="H23" s="36">
        <v>5</v>
      </c>
      <c r="I23" s="36">
        <f t="shared" si="1"/>
        <v>16.600000000000001</v>
      </c>
      <c r="J23" s="31">
        <v>2</v>
      </c>
      <c r="K23" s="31">
        <v>3</v>
      </c>
      <c r="L23" s="33">
        <v>7708.89</v>
      </c>
      <c r="M23" s="35">
        <v>1265</v>
      </c>
      <c r="N23" s="37">
        <v>45030</v>
      </c>
      <c r="O23" s="38" t="s">
        <v>37</v>
      </c>
      <c r="R23" s="31"/>
      <c r="S23" s="39"/>
    </row>
    <row r="24" spans="1:19" ht="24.75" customHeight="1" x14ac:dyDescent="0.15">
      <c r="A24" s="31">
        <v>22</v>
      </c>
      <c r="B24" s="31">
        <v>17</v>
      </c>
      <c r="C24" s="41" t="s">
        <v>41</v>
      </c>
      <c r="D24" s="33">
        <v>526.29999999999995</v>
      </c>
      <c r="E24" s="33">
        <v>812.37</v>
      </c>
      <c r="F24" s="34">
        <f>(D24-E24)/E24</f>
        <v>-0.3521424966456172</v>
      </c>
      <c r="G24" s="35">
        <v>95</v>
      </c>
      <c r="H24" s="36">
        <v>3</v>
      </c>
      <c r="I24" s="36">
        <f t="shared" si="1"/>
        <v>31.666666666666668</v>
      </c>
      <c r="J24" s="31">
        <v>2</v>
      </c>
      <c r="K24" s="31">
        <v>10</v>
      </c>
      <c r="L24" s="33">
        <v>127544.28</v>
      </c>
      <c r="M24" s="35">
        <v>19926</v>
      </c>
      <c r="N24" s="37">
        <v>44981</v>
      </c>
      <c r="O24" s="31" t="s">
        <v>39</v>
      </c>
    </row>
    <row r="25" spans="1:19" ht="24.75" customHeight="1" x14ac:dyDescent="0.15">
      <c r="A25" s="31">
        <v>23</v>
      </c>
      <c r="B25" s="13" t="s">
        <v>17</v>
      </c>
      <c r="C25" s="21" t="s">
        <v>78</v>
      </c>
      <c r="D25" s="15">
        <v>384.2</v>
      </c>
      <c r="E25" s="15" t="s">
        <v>17</v>
      </c>
      <c r="F25" s="15" t="s">
        <v>17</v>
      </c>
      <c r="G25" s="17">
        <v>60</v>
      </c>
      <c r="H25" s="13">
        <v>4</v>
      </c>
      <c r="I25" s="36">
        <f t="shared" si="1"/>
        <v>15</v>
      </c>
      <c r="J25" s="13">
        <v>3</v>
      </c>
      <c r="K25" s="13">
        <v>6</v>
      </c>
      <c r="L25" s="15">
        <v>8934</v>
      </c>
      <c r="M25" s="17">
        <v>1635</v>
      </c>
      <c r="N25" s="19">
        <v>45012</v>
      </c>
      <c r="O25" s="13" t="s">
        <v>73</v>
      </c>
    </row>
    <row r="26" spans="1:19" ht="24.75" customHeight="1" x14ac:dyDescent="0.15">
      <c r="A26" s="31">
        <v>24</v>
      </c>
      <c r="B26" s="31">
        <v>16</v>
      </c>
      <c r="C26" s="32" t="s">
        <v>40</v>
      </c>
      <c r="D26" s="33">
        <v>301.8</v>
      </c>
      <c r="E26" s="33">
        <v>816.99</v>
      </c>
      <c r="F26" s="34">
        <f>(D26-E26)/E26</f>
        <v>-0.630595233723791</v>
      </c>
      <c r="G26" s="35">
        <v>40</v>
      </c>
      <c r="H26" s="36">
        <v>3</v>
      </c>
      <c r="I26" s="36">
        <f t="shared" si="1"/>
        <v>13.333333333333334</v>
      </c>
      <c r="J26" s="31">
        <v>2</v>
      </c>
      <c r="K26" s="31">
        <v>3</v>
      </c>
      <c r="L26" s="33">
        <v>12318.18</v>
      </c>
      <c r="M26" s="35">
        <v>1867</v>
      </c>
      <c r="N26" s="37">
        <v>45030</v>
      </c>
      <c r="O26" s="38" t="s">
        <v>71</v>
      </c>
    </row>
    <row r="27" spans="1:19" ht="24.95" customHeight="1" x14ac:dyDescent="0.15">
      <c r="A27" s="31">
        <v>25</v>
      </c>
      <c r="B27" s="31">
        <v>12</v>
      </c>
      <c r="C27" s="32" t="s">
        <v>35</v>
      </c>
      <c r="D27" s="33">
        <v>261.05</v>
      </c>
      <c r="E27" s="33">
        <v>1323.89</v>
      </c>
      <c r="F27" s="34">
        <f>(D27-E27)/E27</f>
        <v>-0.80281594392283351</v>
      </c>
      <c r="G27" s="35">
        <v>44</v>
      </c>
      <c r="H27" s="36">
        <v>2</v>
      </c>
      <c r="I27" s="36">
        <f t="shared" si="1"/>
        <v>22</v>
      </c>
      <c r="J27" s="31">
        <v>2</v>
      </c>
      <c r="K27" s="31">
        <v>4</v>
      </c>
      <c r="L27" s="33">
        <v>33305.560000000005</v>
      </c>
      <c r="M27" s="35">
        <v>5079</v>
      </c>
      <c r="N27" s="37">
        <v>45023</v>
      </c>
      <c r="O27" s="38" t="s">
        <v>33</v>
      </c>
    </row>
    <row r="28" spans="1:19" ht="24.95" customHeight="1" x14ac:dyDescent="0.15">
      <c r="A28" s="31">
        <v>26</v>
      </c>
      <c r="B28" s="13" t="s">
        <v>17</v>
      </c>
      <c r="C28" s="21" t="s">
        <v>77</v>
      </c>
      <c r="D28" s="15">
        <v>231</v>
      </c>
      <c r="E28" s="15" t="s">
        <v>17</v>
      </c>
      <c r="F28" s="15" t="s">
        <v>17</v>
      </c>
      <c r="G28" s="17">
        <v>45</v>
      </c>
      <c r="H28" s="13">
        <v>1</v>
      </c>
      <c r="I28" s="36">
        <f t="shared" si="1"/>
        <v>45</v>
      </c>
      <c r="J28" s="13">
        <v>1</v>
      </c>
      <c r="K28" s="13" t="s">
        <v>17</v>
      </c>
      <c r="L28" s="15">
        <v>4707</v>
      </c>
      <c r="M28" s="17">
        <v>1001</v>
      </c>
      <c r="N28" s="19">
        <v>43987</v>
      </c>
      <c r="O28" s="13" t="s">
        <v>73</v>
      </c>
    </row>
    <row r="29" spans="1:19" ht="24.95" customHeight="1" x14ac:dyDescent="0.15">
      <c r="A29" s="31">
        <v>27</v>
      </c>
      <c r="B29" s="13" t="s">
        <v>17</v>
      </c>
      <c r="C29" s="21" t="s">
        <v>76</v>
      </c>
      <c r="D29" s="15">
        <v>228.4</v>
      </c>
      <c r="E29" s="15" t="s">
        <v>17</v>
      </c>
      <c r="F29" s="15" t="s">
        <v>17</v>
      </c>
      <c r="G29" s="17">
        <v>37</v>
      </c>
      <c r="H29" s="13">
        <v>2</v>
      </c>
      <c r="I29" s="36">
        <f t="shared" si="1"/>
        <v>18.5</v>
      </c>
      <c r="J29" s="13">
        <v>2</v>
      </c>
      <c r="K29" s="13">
        <v>6</v>
      </c>
      <c r="L29" s="15">
        <v>21994</v>
      </c>
      <c r="M29" s="17">
        <v>2621</v>
      </c>
      <c r="N29" s="19">
        <v>45012</v>
      </c>
      <c r="O29" s="13" t="s">
        <v>73</v>
      </c>
    </row>
    <row r="30" spans="1:19" ht="24.95" customHeight="1" x14ac:dyDescent="0.15">
      <c r="A30" s="31">
        <v>28</v>
      </c>
      <c r="B30" s="31">
        <v>23</v>
      </c>
      <c r="C30" s="32" t="s">
        <v>47</v>
      </c>
      <c r="D30" s="33">
        <v>219</v>
      </c>
      <c r="E30" s="33">
        <v>172</v>
      </c>
      <c r="F30" s="34">
        <f>(D30-E30)/E30</f>
        <v>0.27325581395348836</v>
      </c>
      <c r="G30" s="35">
        <v>39</v>
      </c>
      <c r="H30" s="36">
        <v>1</v>
      </c>
      <c r="I30" s="36">
        <f t="shared" si="1"/>
        <v>39</v>
      </c>
      <c r="J30" s="31">
        <v>1</v>
      </c>
      <c r="K30" s="31">
        <v>11</v>
      </c>
      <c r="L30" s="33">
        <v>274935.63</v>
      </c>
      <c r="M30" s="35">
        <v>46094</v>
      </c>
      <c r="N30" s="37">
        <v>44973</v>
      </c>
      <c r="O30" s="38" t="s">
        <v>25</v>
      </c>
    </row>
    <row r="31" spans="1:19" ht="24.95" customHeight="1" x14ac:dyDescent="0.15">
      <c r="A31" s="31">
        <v>29</v>
      </c>
      <c r="B31" s="13" t="s">
        <v>17</v>
      </c>
      <c r="C31" s="21" t="s">
        <v>75</v>
      </c>
      <c r="D31" s="15">
        <v>153.30000000000001</v>
      </c>
      <c r="E31" s="15" t="s">
        <v>17</v>
      </c>
      <c r="F31" s="15" t="s">
        <v>17</v>
      </c>
      <c r="G31" s="17">
        <v>28</v>
      </c>
      <c r="H31" s="13">
        <v>2</v>
      </c>
      <c r="I31" s="36">
        <f t="shared" si="1"/>
        <v>14</v>
      </c>
      <c r="J31" s="13">
        <v>2</v>
      </c>
      <c r="K31" s="13">
        <v>6</v>
      </c>
      <c r="L31" s="15">
        <v>19296.89</v>
      </c>
      <c r="M31" s="17">
        <v>2200</v>
      </c>
      <c r="N31" s="19">
        <v>45012</v>
      </c>
      <c r="O31" s="13" t="s">
        <v>73</v>
      </c>
    </row>
    <row r="32" spans="1:19" ht="24.95" customHeight="1" x14ac:dyDescent="0.15">
      <c r="A32" s="31">
        <v>30</v>
      </c>
      <c r="B32" s="13" t="s">
        <v>17</v>
      </c>
      <c r="C32" s="21" t="s">
        <v>79</v>
      </c>
      <c r="D32" s="15">
        <v>127.7</v>
      </c>
      <c r="E32" s="15" t="s">
        <v>17</v>
      </c>
      <c r="F32" s="15" t="s">
        <v>17</v>
      </c>
      <c r="G32" s="17">
        <v>18</v>
      </c>
      <c r="H32" s="13">
        <v>1</v>
      </c>
      <c r="I32" s="36">
        <f t="shared" si="1"/>
        <v>18</v>
      </c>
      <c r="J32" s="13">
        <v>1</v>
      </c>
      <c r="K32" s="13">
        <v>6</v>
      </c>
      <c r="L32" s="15">
        <v>9181</v>
      </c>
      <c r="M32" s="17">
        <v>1562</v>
      </c>
      <c r="N32" s="19">
        <v>45012</v>
      </c>
      <c r="O32" s="13" t="s">
        <v>73</v>
      </c>
    </row>
    <row r="33" spans="1:15" ht="24.95" customHeight="1" x14ac:dyDescent="0.15">
      <c r="A33" s="31">
        <v>31</v>
      </c>
      <c r="B33" s="13" t="s">
        <v>17</v>
      </c>
      <c r="C33" s="21" t="s">
        <v>81</v>
      </c>
      <c r="D33" s="15">
        <v>96</v>
      </c>
      <c r="E33" s="15" t="s">
        <v>17</v>
      </c>
      <c r="F33" s="15" t="s">
        <v>17</v>
      </c>
      <c r="G33" s="17">
        <v>16</v>
      </c>
      <c r="H33" s="13">
        <v>1</v>
      </c>
      <c r="I33" s="36">
        <f t="shared" si="1"/>
        <v>16</v>
      </c>
      <c r="J33" s="13">
        <v>1</v>
      </c>
      <c r="K33" s="13">
        <v>6</v>
      </c>
      <c r="L33" s="15">
        <v>126296</v>
      </c>
      <c r="M33" s="17">
        <v>18967</v>
      </c>
      <c r="N33" s="19">
        <v>44967</v>
      </c>
      <c r="O33" s="13" t="s">
        <v>73</v>
      </c>
    </row>
    <row r="34" spans="1:15" ht="24.95" customHeight="1" x14ac:dyDescent="0.15">
      <c r="A34" s="31">
        <v>32</v>
      </c>
      <c r="B34" s="31">
        <v>26</v>
      </c>
      <c r="C34" s="32" t="s">
        <v>51</v>
      </c>
      <c r="D34" s="33">
        <v>92</v>
      </c>
      <c r="E34" s="33">
        <v>46</v>
      </c>
      <c r="F34" s="34">
        <f>(D34-E34)/E34</f>
        <v>1</v>
      </c>
      <c r="G34" s="35">
        <v>20</v>
      </c>
      <c r="H34" s="36">
        <v>1</v>
      </c>
      <c r="I34" s="36">
        <f t="shared" si="1"/>
        <v>20</v>
      </c>
      <c r="J34" s="31">
        <v>1</v>
      </c>
      <c r="K34" s="31" t="s">
        <v>17</v>
      </c>
      <c r="L34" s="33">
        <v>11804.6</v>
      </c>
      <c r="M34" s="35">
        <v>2174</v>
      </c>
      <c r="N34" s="37">
        <v>45009</v>
      </c>
      <c r="O34" s="38" t="s">
        <v>23</v>
      </c>
    </row>
    <row r="35" spans="1:15" ht="24.95" customHeight="1" x14ac:dyDescent="0.15">
      <c r="A35" s="31">
        <v>33</v>
      </c>
      <c r="B35" s="31">
        <v>25</v>
      </c>
      <c r="C35" s="32" t="s">
        <v>50</v>
      </c>
      <c r="D35" s="33">
        <v>88.6</v>
      </c>
      <c r="E35" s="33">
        <v>56</v>
      </c>
      <c r="F35" s="34">
        <f>(D35-E35)/E35</f>
        <v>0.58214285714285707</v>
      </c>
      <c r="G35" s="35">
        <v>16</v>
      </c>
      <c r="H35" s="36">
        <v>1</v>
      </c>
      <c r="I35" s="36">
        <f t="shared" si="1"/>
        <v>16</v>
      </c>
      <c r="J35" s="31">
        <v>1</v>
      </c>
      <c r="K35" s="31">
        <v>3</v>
      </c>
      <c r="L35" s="33">
        <v>853.2</v>
      </c>
      <c r="M35" s="35">
        <v>168</v>
      </c>
      <c r="N35" s="37">
        <v>45030</v>
      </c>
      <c r="O35" s="38" t="s">
        <v>30</v>
      </c>
    </row>
    <row r="36" spans="1:15" ht="24.95" customHeight="1" x14ac:dyDescent="0.15">
      <c r="A36" s="31">
        <v>34</v>
      </c>
      <c r="B36" s="31">
        <v>24</v>
      </c>
      <c r="C36" s="32" t="s">
        <v>48</v>
      </c>
      <c r="D36" s="33">
        <v>82.2</v>
      </c>
      <c r="E36" s="33">
        <v>59.4</v>
      </c>
      <c r="F36" s="34">
        <f>(D36-E36)/E36</f>
        <v>0.38383838383838392</v>
      </c>
      <c r="G36" s="35">
        <v>12</v>
      </c>
      <c r="H36" s="36">
        <v>1</v>
      </c>
      <c r="I36" s="36">
        <f t="shared" si="1"/>
        <v>12</v>
      </c>
      <c r="J36" s="31">
        <v>1</v>
      </c>
      <c r="K36" s="31" t="s">
        <v>17</v>
      </c>
      <c r="L36" s="33">
        <v>35468.400000000001</v>
      </c>
      <c r="M36" s="35">
        <v>5698</v>
      </c>
      <c r="N36" s="37">
        <v>44960</v>
      </c>
      <c r="O36" s="38" t="s">
        <v>49</v>
      </c>
    </row>
    <row r="37" spans="1:15" ht="24.95" customHeight="1" x14ac:dyDescent="0.15">
      <c r="A37" s="31">
        <v>35</v>
      </c>
      <c r="B37" s="31">
        <v>22</v>
      </c>
      <c r="C37" s="32" t="s">
        <v>90</v>
      </c>
      <c r="D37" s="33">
        <v>72.099999999999994</v>
      </c>
      <c r="E37" s="33">
        <v>186.7</v>
      </c>
      <c r="F37" s="34">
        <f>(D37-E37)/E37</f>
        <v>-0.61381896089983934</v>
      </c>
      <c r="G37" s="35">
        <v>6</v>
      </c>
      <c r="H37" s="36">
        <v>2</v>
      </c>
      <c r="I37" s="36">
        <f t="shared" si="1"/>
        <v>3</v>
      </c>
      <c r="J37" s="31">
        <v>2</v>
      </c>
      <c r="K37" s="31" t="s">
        <v>17</v>
      </c>
      <c r="L37" s="33">
        <v>39619.58</v>
      </c>
      <c r="M37" s="35">
        <v>6720</v>
      </c>
      <c r="N37" s="37">
        <v>44678</v>
      </c>
      <c r="O37" s="38" t="s">
        <v>33</v>
      </c>
    </row>
    <row r="38" spans="1:15" ht="24.95" customHeight="1" x14ac:dyDescent="0.15">
      <c r="A38" s="31">
        <v>36</v>
      </c>
      <c r="B38" s="15" t="s">
        <v>17</v>
      </c>
      <c r="C38" s="21" t="s">
        <v>64</v>
      </c>
      <c r="D38" s="15">
        <v>60</v>
      </c>
      <c r="E38" s="15" t="s">
        <v>17</v>
      </c>
      <c r="F38" s="15" t="s">
        <v>17</v>
      </c>
      <c r="G38" s="17">
        <v>19</v>
      </c>
      <c r="H38" s="13">
        <v>1</v>
      </c>
      <c r="I38" s="36">
        <f t="shared" si="1"/>
        <v>19</v>
      </c>
      <c r="J38" s="13">
        <v>1</v>
      </c>
      <c r="K38" s="13" t="s">
        <v>17</v>
      </c>
      <c r="L38" s="15">
        <v>33405.53</v>
      </c>
      <c r="M38" s="17">
        <v>5110</v>
      </c>
      <c r="N38" s="19">
        <v>45016</v>
      </c>
      <c r="O38" s="13" t="s">
        <v>23</v>
      </c>
    </row>
    <row r="39" spans="1:15" ht="24.95" customHeight="1" x14ac:dyDescent="0.15">
      <c r="A39" s="31">
        <v>37</v>
      </c>
      <c r="B39" s="15" t="s">
        <v>17</v>
      </c>
      <c r="C39" s="21" t="s">
        <v>65</v>
      </c>
      <c r="D39" s="15">
        <v>57</v>
      </c>
      <c r="E39" s="15" t="s">
        <v>17</v>
      </c>
      <c r="F39" s="15" t="s">
        <v>17</v>
      </c>
      <c r="G39" s="17">
        <v>19</v>
      </c>
      <c r="H39" s="13">
        <v>1</v>
      </c>
      <c r="I39" s="36">
        <f t="shared" si="1"/>
        <v>19</v>
      </c>
      <c r="J39" s="13">
        <v>1</v>
      </c>
      <c r="K39" s="13" t="s">
        <v>17</v>
      </c>
      <c r="L39" s="15">
        <v>48868.7</v>
      </c>
      <c r="M39" s="17">
        <v>7934</v>
      </c>
      <c r="N39" s="19">
        <v>44981</v>
      </c>
      <c r="O39" s="13" t="s">
        <v>23</v>
      </c>
    </row>
    <row r="40" spans="1:15" ht="24.95" customHeight="1" x14ac:dyDescent="0.15">
      <c r="A40" s="31">
        <v>38</v>
      </c>
      <c r="B40" s="13" t="s">
        <v>17</v>
      </c>
      <c r="C40" s="21" t="s">
        <v>80</v>
      </c>
      <c r="D40" s="15">
        <v>14</v>
      </c>
      <c r="E40" s="15" t="s">
        <v>17</v>
      </c>
      <c r="F40" s="15" t="s">
        <v>17</v>
      </c>
      <c r="G40" s="17">
        <v>2</v>
      </c>
      <c r="H40" s="13">
        <v>1</v>
      </c>
      <c r="I40" s="36">
        <f t="shared" si="1"/>
        <v>2</v>
      </c>
      <c r="J40" s="13">
        <v>1</v>
      </c>
      <c r="K40" s="13">
        <v>6</v>
      </c>
      <c r="L40" s="15">
        <v>958</v>
      </c>
      <c r="M40" s="17">
        <v>193</v>
      </c>
      <c r="N40" s="19">
        <v>45012</v>
      </c>
      <c r="O40" s="13" t="s">
        <v>73</v>
      </c>
    </row>
    <row r="41" spans="1:15" s="71" customFormat="1" ht="24.95" customHeight="1" x14ac:dyDescent="0.2">
      <c r="B41" s="70"/>
      <c r="C41" s="76" t="s">
        <v>82</v>
      </c>
      <c r="D41" s="72">
        <f>SUBTOTAL(109,Table132[Pajamos 
(GBO)])</f>
        <v>193314.14999999997</v>
      </c>
      <c r="E41" s="72" t="s">
        <v>95</v>
      </c>
      <c r="F41" s="74">
        <f>(D41-E41)/E41</f>
        <v>0.11523104880581496</v>
      </c>
      <c r="G41" s="75">
        <f>SUBTOTAL(109,Table132[Žiūrovų sk. 
(ADM)])</f>
        <v>31991</v>
      </c>
      <c r="O41" s="71" t="s">
        <v>56</v>
      </c>
    </row>
    <row r="42" spans="1:15" x14ac:dyDescent="0.15">
      <c r="F42" s="4"/>
      <c r="L42" s="3"/>
    </row>
    <row r="43" spans="1:15" x14ac:dyDescent="0.15">
      <c r="F43" s="4"/>
      <c r="L43" s="3"/>
    </row>
    <row r="44" spans="1:15" x14ac:dyDescent="0.15">
      <c r="F44" s="4"/>
      <c r="L44" s="3"/>
    </row>
    <row r="45" spans="1:15" x14ac:dyDescent="0.15">
      <c r="F45" s="4"/>
      <c r="L45" s="3"/>
    </row>
    <row r="46" spans="1:15" x14ac:dyDescent="0.15">
      <c r="F46" s="4"/>
      <c r="L46" s="3"/>
    </row>
    <row r="47" spans="1:15" x14ac:dyDescent="0.15">
      <c r="F47" s="4"/>
      <c r="L47" s="3"/>
    </row>
    <row r="48" spans="1:15" x14ac:dyDescent="0.15">
      <c r="F48" s="4"/>
      <c r="L48" s="3"/>
    </row>
    <row r="49" spans="6:12" x14ac:dyDescent="0.15">
      <c r="F49" s="4"/>
      <c r="L49" s="3"/>
    </row>
    <row r="50" spans="6:12" x14ac:dyDescent="0.15">
      <c r="F50" s="4"/>
      <c r="L50" s="3"/>
    </row>
    <row r="51" spans="6:12" x14ac:dyDescent="0.15">
      <c r="F51" s="4"/>
      <c r="L51" s="3"/>
    </row>
    <row r="52" spans="6:12" x14ac:dyDescent="0.15">
      <c r="F52" s="4"/>
      <c r="L52" s="3"/>
    </row>
    <row r="53" spans="6:12" x14ac:dyDescent="0.15">
      <c r="F53" s="4"/>
      <c r="L53" s="3"/>
    </row>
    <row r="54" spans="6:12" x14ac:dyDescent="0.15">
      <c r="F54" s="4"/>
      <c r="L54" s="3"/>
    </row>
    <row r="55" spans="6:12" x14ac:dyDescent="0.15">
      <c r="F55" s="4"/>
    </row>
    <row r="56" spans="6:12" x14ac:dyDescent="0.15">
      <c r="F56" s="4"/>
    </row>
    <row r="57" spans="6:12" x14ac:dyDescent="0.15">
      <c r="F57" s="4"/>
    </row>
    <row r="58" spans="6:12" x14ac:dyDescent="0.15">
      <c r="F58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BA373-81AB-43BB-AE96-6182F255C705}">
  <sheetPr>
    <pageSetUpPr fitToPage="1"/>
  </sheetPr>
  <dimension ref="A1:S68"/>
  <sheetViews>
    <sheetView topLeftCell="A2" zoomScale="60" zoomScaleNormal="60" workbookViewId="0">
      <selection activeCell="O30" sqref="O30"/>
    </sheetView>
  </sheetViews>
  <sheetFormatPr defaultColWidth="0" defaultRowHeight="11.25" zeroHeight="1" x14ac:dyDescent="0.15"/>
  <cols>
    <col min="1" max="2" width="4.7109375" style="1" customWidth="1"/>
    <col min="3" max="3" width="30.7109375" style="1" customWidth="1"/>
    <col min="4" max="14" width="20.7109375" style="1" customWidth="1"/>
    <col min="15" max="15" width="30.7109375" style="1" customWidth="1"/>
    <col min="16" max="16384" width="18.28515625" style="1" hidden="1"/>
  </cols>
  <sheetData>
    <row r="1" spans="1:18" s="8" customFormat="1" ht="40.5" customHeight="1" thickBot="1" x14ac:dyDescent="0.25">
      <c r="A1" s="103" t="s">
        <v>101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75" customHeight="1" thickBot="1" x14ac:dyDescent="0.25">
      <c r="A2" s="47" t="s">
        <v>0</v>
      </c>
      <c r="B2" s="48" t="s">
        <v>1</v>
      </c>
      <c r="C2" s="49" t="s">
        <v>2</v>
      </c>
      <c r="D2" s="49" t="s">
        <v>3</v>
      </c>
      <c r="E2" s="49" t="s">
        <v>4</v>
      </c>
      <c r="F2" s="49" t="s">
        <v>5</v>
      </c>
      <c r="G2" s="49" t="s">
        <v>6</v>
      </c>
      <c r="H2" s="49" t="s">
        <v>7</v>
      </c>
      <c r="I2" s="49" t="s">
        <v>8</v>
      </c>
      <c r="J2" s="49" t="s">
        <v>9</v>
      </c>
      <c r="K2" s="49" t="s">
        <v>10</v>
      </c>
      <c r="L2" s="49" t="s">
        <v>11</v>
      </c>
      <c r="M2" s="49" t="s">
        <v>12</v>
      </c>
      <c r="N2" s="49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13" t="s">
        <v>15</v>
      </c>
      <c r="C3" s="14" t="s">
        <v>16</v>
      </c>
      <c r="D3" s="15">
        <v>59502.160000000011</v>
      </c>
      <c r="E3" s="15" t="s">
        <v>17</v>
      </c>
      <c r="F3" s="15" t="s">
        <v>17</v>
      </c>
      <c r="G3" s="17">
        <v>11354</v>
      </c>
      <c r="H3" s="13">
        <v>214</v>
      </c>
      <c r="I3" s="18">
        <f t="shared" ref="I3:I8" si="0">G3/H3</f>
        <v>53.056074766355138</v>
      </c>
      <c r="J3" s="13">
        <v>16</v>
      </c>
      <c r="K3" s="13">
        <v>1</v>
      </c>
      <c r="L3" s="15">
        <v>70043.760000000009</v>
      </c>
      <c r="M3" s="17">
        <v>13517</v>
      </c>
      <c r="N3" s="19">
        <v>45037</v>
      </c>
      <c r="O3" s="20" t="s">
        <v>18</v>
      </c>
    </row>
    <row r="4" spans="1:18" s="39" customFormat="1" ht="24.95" customHeight="1" x14ac:dyDescent="0.2">
      <c r="A4" s="31">
        <v>2</v>
      </c>
      <c r="B4" s="31">
        <v>1</v>
      </c>
      <c r="C4" s="32" t="s">
        <v>19</v>
      </c>
      <c r="D4" s="33">
        <v>43654.94</v>
      </c>
      <c r="E4" s="33">
        <v>125159</v>
      </c>
      <c r="F4" s="34">
        <f>(D4-E4)/E4</f>
        <v>-0.65120414832333273</v>
      </c>
      <c r="G4" s="35">
        <v>7563</v>
      </c>
      <c r="H4" s="36">
        <v>169</v>
      </c>
      <c r="I4" s="36">
        <f t="shared" si="0"/>
        <v>44.751479289940825</v>
      </c>
      <c r="J4" s="31">
        <v>26</v>
      </c>
      <c r="K4" s="31">
        <v>3</v>
      </c>
      <c r="L4" s="33">
        <v>364144.02</v>
      </c>
      <c r="M4" s="35">
        <v>65664</v>
      </c>
      <c r="N4" s="37">
        <v>45023</v>
      </c>
      <c r="O4" s="38" t="s">
        <v>71</v>
      </c>
    </row>
    <row r="5" spans="1:18" s="39" customFormat="1" ht="24.95" customHeight="1" x14ac:dyDescent="0.2">
      <c r="A5" s="31">
        <v>3</v>
      </c>
      <c r="B5" s="13" t="s">
        <v>15</v>
      </c>
      <c r="C5" s="21" t="s">
        <v>20</v>
      </c>
      <c r="D5" s="42">
        <v>19146.009999999998</v>
      </c>
      <c r="E5" s="15" t="s">
        <v>17</v>
      </c>
      <c r="F5" s="15" t="s">
        <v>17</v>
      </c>
      <c r="G5" s="40">
        <v>2593</v>
      </c>
      <c r="H5" s="17">
        <v>70</v>
      </c>
      <c r="I5" s="18">
        <f t="shared" si="0"/>
        <v>37.042857142857144</v>
      </c>
      <c r="J5" s="17">
        <v>14</v>
      </c>
      <c r="K5" s="17">
        <v>1</v>
      </c>
      <c r="L5" s="40">
        <v>21351.439999999999</v>
      </c>
      <c r="M5" s="40">
        <v>2885</v>
      </c>
      <c r="N5" s="19">
        <v>45037</v>
      </c>
      <c r="O5" s="20" t="s">
        <v>21</v>
      </c>
      <c r="R5" s="31"/>
    </row>
    <row r="6" spans="1:18" s="39" customFormat="1" ht="24.95" customHeight="1" x14ac:dyDescent="0.2">
      <c r="A6" s="31">
        <v>4</v>
      </c>
      <c r="B6" s="31">
        <v>2</v>
      </c>
      <c r="C6" s="32" t="s">
        <v>22</v>
      </c>
      <c r="D6" s="33">
        <v>9830.73</v>
      </c>
      <c r="E6" s="33">
        <v>31089.77</v>
      </c>
      <c r="F6" s="34">
        <f>(D6-E6)/E6</f>
        <v>-0.68379534489962457</v>
      </c>
      <c r="G6" s="35">
        <v>1267</v>
      </c>
      <c r="H6" s="36">
        <v>53</v>
      </c>
      <c r="I6" s="36">
        <f t="shared" si="0"/>
        <v>23.90566037735849</v>
      </c>
      <c r="J6" s="31">
        <v>9</v>
      </c>
      <c r="K6" s="31">
        <v>3</v>
      </c>
      <c r="L6" s="33">
        <v>107759.29</v>
      </c>
      <c r="M6" s="35">
        <v>15539</v>
      </c>
      <c r="N6" s="37">
        <v>45023</v>
      </c>
      <c r="O6" s="38" t="s">
        <v>23</v>
      </c>
      <c r="R6" s="31"/>
    </row>
    <row r="7" spans="1:18" s="39" customFormat="1" ht="24.95" customHeight="1" x14ac:dyDescent="0.2">
      <c r="A7" s="31">
        <v>5</v>
      </c>
      <c r="B7" s="31">
        <v>3</v>
      </c>
      <c r="C7" s="32" t="s">
        <v>24</v>
      </c>
      <c r="D7" s="33">
        <v>6837.2</v>
      </c>
      <c r="E7" s="33">
        <v>20130.5</v>
      </c>
      <c r="F7" s="34">
        <f>(D7-E7)/E7</f>
        <v>-0.66035617595191376</v>
      </c>
      <c r="G7" s="35">
        <v>939</v>
      </c>
      <c r="H7" s="36">
        <v>39</v>
      </c>
      <c r="I7" s="36">
        <f t="shared" si="0"/>
        <v>24.076923076923077</v>
      </c>
      <c r="J7" s="31">
        <v>8</v>
      </c>
      <c r="K7" s="31">
        <v>5</v>
      </c>
      <c r="L7" s="33">
        <v>304403.67</v>
      </c>
      <c r="M7" s="35">
        <v>41627</v>
      </c>
      <c r="N7" s="37">
        <v>45009</v>
      </c>
      <c r="O7" s="38" t="s">
        <v>25</v>
      </c>
      <c r="R7" s="31"/>
    </row>
    <row r="8" spans="1:18" s="39" customFormat="1" ht="24.95" customHeight="1" x14ac:dyDescent="0.2">
      <c r="A8" s="31">
        <v>6</v>
      </c>
      <c r="B8" s="31">
        <v>4</v>
      </c>
      <c r="C8" s="32" t="s">
        <v>26</v>
      </c>
      <c r="D8" s="33">
        <v>6361.1</v>
      </c>
      <c r="E8" s="33">
        <v>18961.86</v>
      </c>
      <c r="F8" s="34">
        <f>(D8-E8)/E8</f>
        <v>-0.66453185499734735</v>
      </c>
      <c r="G8" s="35">
        <v>918</v>
      </c>
      <c r="H8" s="36">
        <v>55</v>
      </c>
      <c r="I8" s="36">
        <f t="shared" si="0"/>
        <v>16.690909090909091</v>
      </c>
      <c r="J8" s="31">
        <v>11</v>
      </c>
      <c r="K8" s="31">
        <v>2</v>
      </c>
      <c r="L8" s="33">
        <v>35881.160000000003</v>
      </c>
      <c r="M8" s="35">
        <v>5423</v>
      </c>
      <c r="N8" s="37">
        <v>45030</v>
      </c>
      <c r="O8" s="38" t="s">
        <v>21</v>
      </c>
      <c r="R8" s="31"/>
    </row>
    <row r="9" spans="1:18" s="39" customFormat="1" ht="24.95" customHeight="1" x14ac:dyDescent="0.2">
      <c r="A9" s="31">
        <v>7</v>
      </c>
      <c r="B9" s="31">
        <v>5</v>
      </c>
      <c r="C9" s="32" t="s">
        <v>27</v>
      </c>
      <c r="D9" s="33">
        <v>5362</v>
      </c>
      <c r="E9" s="33">
        <v>18909</v>
      </c>
      <c r="F9" s="34">
        <f>(D9-E9)/E9</f>
        <v>-0.71643132899677398</v>
      </c>
      <c r="G9" s="35">
        <v>802</v>
      </c>
      <c r="H9" s="31" t="s">
        <v>17</v>
      </c>
      <c r="I9" s="36" t="s">
        <v>17</v>
      </c>
      <c r="J9" s="31">
        <v>15</v>
      </c>
      <c r="K9" s="31">
        <v>2</v>
      </c>
      <c r="L9" s="33">
        <v>39245</v>
      </c>
      <c r="M9" s="35">
        <v>5875</v>
      </c>
      <c r="N9" s="37">
        <v>45030</v>
      </c>
      <c r="O9" s="38" t="s">
        <v>28</v>
      </c>
      <c r="R9" s="31"/>
    </row>
    <row r="10" spans="1:18" s="39" customFormat="1" ht="24.95" customHeight="1" x14ac:dyDescent="0.2">
      <c r="A10" s="31">
        <v>8</v>
      </c>
      <c r="B10" s="13" t="s">
        <v>15</v>
      </c>
      <c r="C10" s="14" t="s">
        <v>29</v>
      </c>
      <c r="D10" s="15">
        <v>4428</v>
      </c>
      <c r="E10" s="15" t="s">
        <v>17</v>
      </c>
      <c r="F10" s="15" t="s">
        <v>17</v>
      </c>
      <c r="G10" s="17">
        <v>853</v>
      </c>
      <c r="H10" s="13" t="s">
        <v>17</v>
      </c>
      <c r="I10" s="36" t="s">
        <v>17</v>
      </c>
      <c r="J10" s="13">
        <v>18</v>
      </c>
      <c r="K10" s="13">
        <v>1</v>
      </c>
      <c r="L10" s="15">
        <v>4428</v>
      </c>
      <c r="M10" s="17">
        <v>853</v>
      </c>
      <c r="N10" s="19">
        <v>45037</v>
      </c>
      <c r="O10" s="20" t="s">
        <v>30</v>
      </c>
      <c r="R10" s="31"/>
    </row>
    <row r="11" spans="1:18" s="39" customFormat="1" ht="24.95" customHeight="1" x14ac:dyDescent="0.2">
      <c r="A11" s="31">
        <v>9</v>
      </c>
      <c r="B11" s="31">
        <v>6</v>
      </c>
      <c r="C11" s="32" t="s">
        <v>31</v>
      </c>
      <c r="D11" s="33">
        <v>4195.53</v>
      </c>
      <c r="E11" s="33">
        <v>18562.32</v>
      </c>
      <c r="F11" s="34">
        <f>(D11-E11)/E11</f>
        <v>-0.77397599007020679</v>
      </c>
      <c r="G11" s="35">
        <v>665</v>
      </c>
      <c r="H11" s="36">
        <v>34</v>
      </c>
      <c r="I11" s="36">
        <f t="shared" ref="I11:I32" si="1">G11/H11</f>
        <v>19.558823529411764</v>
      </c>
      <c r="J11" s="31">
        <v>9</v>
      </c>
      <c r="K11" s="31">
        <v>2</v>
      </c>
      <c r="L11" s="33">
        <v>27324.09</v>
      </c>
      <c r="M11" s="35">
        <v>4199</v>
      </c>
      <c r="N11" s="37">
        <v>45030</v>
      </c>
      <c r="O11" s="38" t="s">
        <v>23</v>
      </c>
      <c r="R11" s="31"/>
    </row>
    <row r="12" spans="1:18" s="39" customFormat="1" ht="24.75" customHeight="1" x14ac:dyDescent="0.2">
      <c r="A12" s="31">
        <v>10</v>
      </c>
      <c r="B12" s="13" t="s">
        <v>15</v>
      </c>
      <c r="C12" s="14" t="s">
        <v>32</v>
      </c>
      <c r="D12" s="42">
        <v>3139.08</v>
      </c>
      <c r="E12" s="15" t="s">
        <v>17</v>
      </c>
      <c r="F12" s="15" t="s">
        <v>17</v>
      </c>
      <c r="G12" s="40">
        <v>466</v>
      </c>
      <c r="H12" s="17">
        <v>36</v>
      </c>
      <c r="I12" s="18">
        <f t="shared" si="1"/>
        <v>12.944444444444445</v>
      </c>
      <c r="J12" s="17">
        <v>12</v>
      </c>
      <c r="K12" s="17">
        <v>1</v>
      </c>
      <c r="L12" s="40">
        <v>3139.08</v>
      </c>
      <c r="M12" s="40">
        <v>466</v>
      </c>
      <c r="N12" s="19">
        <v>45037</v>
      </c>
      <c r="O12" s="38" t="s">
        <v>33</v>
      </c>
      <c r="R12" s="31"/>
    </row>
    <row r="13" spans="1:18" s="39" customFormat="1" ht="24.95" customHeight="1" x14ac:dyDescent="0.2">
      <c r="A13" s="31">
        <v>11</v>
      </c>
      <c r="B13" s="31">
        <v>9</v>
      </c>
      <c r="C13" s="32" t="s">
        <v>34</v>
      </c>
      <c r="D13" s="33">
        <v>2501.0500000000002</v>
      </c>
      <c r="E13" s="33">
        <v>6005.16</v>
      </c>
      <c r="F13" s="34">
        <f>(D13-E13)/E13</f>
        <v>-0.58351650913547681</v>
      </c>
      <c r="G13" s="35">
        <v>363</v>
      </c>
      <c r="H13" s="36">
        <v>15</v>
      </c>
      <c r="I13" s="36">
        <f t="shared" si="1"/>
        <v>24.2</v>
      </c>
      <c r="J13" s="31">
        <v>4</v>
      </c>
      <c r="K13" s="31">
        <v>4</v>
      </c>
      <c r="L13" s="33">
        <v>60327.95</v>
      </c>
      <c r="M13" s="35">
        <v>9051</v>
      </c>
      <c r="N13" s="37">
        <v>45016</v>
      </c>
      <c r="O13" s="38" t="s">
        <v>70</v>
      </c>
      <c r="R13" s="31"/>
    </row>
    <row r="14" spans="1:18" s="39" customFormat="1" ht="24.95" customHeight="1" x14ac:dyDescent="0.2">
      <c r="A14" s="31">
        <v>12</v>
      </c>
      <c r="B14" s="31">
        <v>8</v>
      </c>
      <c r="C14" s="32" t="s">
        <v>35</v>
      </c>
      <c r="D14" s="33">
        <v>1323.89</v>
      </c>
      <c r="E14" s="33">
        <v>7748.48</v>
      </c>
      <c r="F14" s="34">
        <f>(D14-E14)/E14</f>
        <v>-0.82914197365160647</v>
      </c>
      <c r="G14" s="35">
        <v>187</v>
      </c>
      <c r="H14" s="36">
        <v>10</v>
      </c>
      <c r="I14" s="36">
        <f t="shared" si="1"/>
        <v>18.7</v>
      </c>
      <c r="J14" s="31">
        <v>4</v>
      </c>
      <c r="K14" s="31">
        <v>3</v>
      </c>
      <c r="L14" s="33">
        <v>32423.86</v>
      </c>
      <c r="M14" s="35">
        <v>4933</v>
      </c>
      <c r="N14" s="37">
        <v>45023</v>
      </c>
      <c r="O14" s="38" t="s">
        <v>33</v>
      </c>
      <c r="R14" s="31"/>
    </row>
    <row r="15" spans="1:18" s="39" customFormat="1" ht="24.95" customHeight="1" x14ac:dyDescent="0.2">
      <c r="A15" s="31">
        <v>13</v>
      </c>
      <c r="B15" s="31">
        <v>11</v>
      </c>
      <c r="C15" s="32" t="s">
        <v>36</v>
      </c>
      <c r="D15" s="33">
        <v>959.58</v>
      </c>
      <c r="E15" s="33">
        <v>3341</v>
      </c>
      <c r="F15" s="34">
        <f>(D15-E15)/E15</f>
        <v>-0.71278659084106555</v>
      </c>
      <c r="G15" s="35">
        <v>135</v>
      </c>
      <c r="H15" s="36">
        <v>21</v>
      </c>
      <c r="I15" s="36">
        <f t="shared" si="1"/>
        <v>6.4285714285714288</v>
      </c>
      <c r="J15" s="31">
        <v>4</v>
      </c>
      <c r="K15" s="31">
        <v>2</v>
      </c>
      <c r="L15" s="33">
        <v>6502.49</v>
      </c>
      <c r="M15" s="35">
        <v>1092</v>
      </c>
      <c r="N15" s="37">
        <v>45030</v>
      </c>
      <c r="O15" s="38" t="s">
        <v>37</v>
      </c>
      <c r="R15" s="31"/>
    </row>
    <row r="16" spans="1:18" s="39" customFormat="1" ht="24.95" customHeight="1" x14ac:dyDescent="0.2">
      <c r="A16" s="31">
        <v>14</v>
      </c>
      <c r="B16" s="31">
        <v>10</v>
      </c>
      <c r="C16" s="32" t="s">
        <v>38</v>
      </c>
      <c r="D16" s="33">
        <v>880.05</v>
      </c>
      <c r="E16" s="33">
        <v>4990.6000000000004</v>
      </c>
      <c r="F16" s="34">
        <f>(D16-E16)/E16</f>
        <v>-0.82365847793852442</v>
      </c>
      <c r="G16" s="35">
        <v>150</v>
      </c>
      <c r="H16" s="36">
        <v>21</v>
      </c>
      <c r="I16" s="36">
        <f t="shared" si="1"/>
        <v>7.1428571428571432</v>
      </c>
      <c r="J16" s="31">
        <v>9</v>
      </c>
      <c r="K16" s="31">
        <v>2</v>
      </c>
      <c r="L16" s="33">
        <v>7425.97</v>
      </c>
      <c r="M16" s="35">
        <v>1201</v>
      </c>
      <c r="N16" s="37">
        <v>45030</v>
      </c>
      <c r="O16" s="38" t="s">
        <v>39</v>
      </c>
      <c r="R16" s="31"/>
    </row>
    <row r="17" spans="1:19" s="39" customFormat="1" ht="24.95" customHeight="1" x14ac:dyDescent="0.2">
      <c r="A17" s="31">
        <v>15</v>
      </c>
      <c r="B17" s="13" t="s">
        <v>15</v>
      </c>
      <c r="C17" s="14" t="s">
        <v>60</v>
      </c>
      <c r="D17" s="15">
        <v>819.5</v>
      </c>
      <c r="E17" s="15" t="s">
        <v>17</v>
      </c>
      <c r="F17" s="16" t="s">
        <v>17</v>
      </c>
      <c r="G17" s="17">
        <v>271</v>
      </c>
      <c r="H17" s="18">
        <v>5</v>
      </c>
      <c r="I17" s="18">
        <f t="shared" si="1"/>
        <v>54.2</v>
      </c>
      <c r="J17" s="13">
        <v>10</v>
      </c>
      <c r="K17" s="13">
        <v>1</v>
      </c>
      <c r="L17" s="15">
        <v>819.5</v>
      </c>
      <c r="M17" s="17">
        <v>271</v>
      </c>
      <c r="N17" s="19">
        <v>45037</v>
      </c>
      <c r="O17" s="20" t="s">
        <v>59</v>
      </c>
      <c r="R17" s="31"/>
    </row>
    <row r="18" spans="1:19" s="39" customFormat="1" ht="24.95" customHeight="1" x14ac:dyDescent="0.2">
      <c r="A18" s="31">
        <v>16</v>
      </c>
      <c r="B18" s="31">
        <v>7</v>
      </c>
      <c r="C18" s="32" t="s">
        <v>40</v>
      </c>
      <c r="D18" s="33">
        <v>816.99</v>
      </c>
      <c r="E18" s="33">
        <v>7864.38</v>
      </c>
      <c r="F18" s="34">
        <f>(D18-E18)/E18</f>
        <v>-0.89611514194380237</v>
      </c>
      <c r="G18" s="35">
        <v>122</v>
      </c>
      <c r="H18" s="36">
        <v>12</v>
      </c>
      <c r="I18" s="36">
        <f t="shared" si="1"/>
        <v>10.166666666666666</v>
      </c>
      <c r="J18" s="31">
        <v>4</v>
      </c>
      <c r="K18" s="31">
        <v>2</v>
      </c>
      <c r="L18" s="33">
        <v>11412.97</v>
      </c>
      <c r="M18" s="35">
        <v>1700</v>
      </c>
      <c r="N18" s="37">
        <v>45030</v>
      </c>
      <c r="O18" s="38" t="s">
        <v>71</v>
      </c>
      <c r="R18" s="31"/>
    </row>
    <row r="19" spans="1:19" s="39" customFormat="1" ht="24.95" customHeight="1" x14ac:dyDescent="0.2">
      <c r="A19" s="31">
        <v>17</v>
      </c>
      <c r="B19" s="31">
        <v>14</v>
      </c>
      <c r="C19" s="41" t="s">
        <v>41</v>
      </c>
      <c r="D19" s="33">
        <v>812.37</v>
      </c>
      <c r="E19" s="33">
        <v>1674.11</v>
      </c>
      <c r="F19" s="34">
        <f>(D19-E19)/E19</f>
        <v>-0.51474514816828043</v>
      </c>
      <c r="G19" s="31">
        <v>113</v>
      </c>
      <c r="H19" s="36">
        <v>7</v>
      </c>
      <c r="I19" s="36">
        <f t="shared" si="1"/>
        <v>16.142857142857142</v>
      </c>
      <c r="J19" s="31">
        <v>4</v>
      </c>
      <c r="K19" s="31">
        <v>9</v>
      </c>
      <c r="L19" s="33">
        <v>126549.94</v>
      </c>
      <c r="M19" s="35">
        <v>19755</v>
      </c>
      <c r="N19" s="37">
        <v>44981</v>
      </c>
      <c r="O19" s="31" t="s">
        <v>39</v>
      </c>
      <c r="R19" s="31"/>
    </row>
    <row r="20" spans="1:19" s="39" customFormat="1" ht="24.95" customHeight="1" x14ac:dyDescent="0.2">
      <c r="A20" s="31">
        <v>18</v>
      </c>
      <c r="B20" s="31">
        <v>27</v>
      </c>
      <c r="C20" s="32" t="s">
        <v>42</v>
      </c>
      <c r="D20" s="33">
        <v>634.70000000000005</v>
      </c>
      <c r="E20" s="33">
        <v>381.85</v>
      </c>
      <c r="F20" s="34">
        <f>(D20-E20)/E20</f>
        <v>0.66217100955872732</v>
      </c>
      <c r="G20" s="35">
        <v>94</v>
      </c>
      <c r="H20" s="36">
        <v>4</v>
      </c>
      <c r="I20" s="36">
        <f t="shared" si="1"/>
        <v>23.5</v>
      </c>
      <c r="J20" s="31">
        <v>1</v>
      </c>
      <c r="K20" s="31">
        <v>8</v>
      </c>
      <c r="L20" s="33">
        <v>225361.22000000003</v>
      </c>
      <c r="M20" s="35">
        <v>35307</v>
      </c>
      <c r="N20" s="37">
        <v>44988</v>
      </c>
      <c r="O20" s="38" t="s">
        <v>43</v>
      </c>
      <c r="R20" s="31"/>
    </row>
    <row r="21" spans="1:19" s="39" customFormat="1" ht="24.95" customHeight="1" x14ac:dyDescent="0.2">
      <c r="A21" s="31">
        <v>19</v>
      </c>
      <c r="B21" s="13" t="s">
        <v>15</v>
      </c>
      <c r="C21" s="21" t="s">
        <v>68</v>
      </c>
      <c r="D21" s="15">
        <v>472.2</v>
      </c>
      <c r="E21" s="15" t="s">
        <v>17</v>
      </c>
      <c r="F21" s="16" t="s">
        <v>17</v>
      </c>
      <c r="G21" s="17">
        <v>73</v>
      </c>
      <c r="H21" s="13">
        <v>1</v>
      </c>
      <c r="I21" s="36">
        <f t="shared" si="1"/>
        <v>73</v>
      </c>
      <c r="J21" s="13">
        <v>1</v>
      </c>
      <c r="K21" s="13">
        <v>1</v>
      </c>
      <c r="L21" s="15">
        <v>472.2</v>
      </c>
      <c r="M21" s="17">
        <v>73</v>
      </c>
      <c r="N21" s="19">
        <v>45043</v>
      </c>
      <c r="O21" s="13" t="s">
        <v>69</v>
      </c>
      <c r="R21" s="31"/>
    </row>
    <row r="22" spans="1:19" s="39" customFormat="1" ht="24.95" customHeight="1" x14ac:dyDescent="0.2">
      <c r="A22" s="31">
        <v>20</v>
      </c>
      <c r="B22" s="31">
        <v>12</v>
      </c>
      <c r="C22" s="32" t="s">
        <v>44</v>
      </c>
      <c r="D22" s="33">
        <v>434.01</v>
      </c>
      <c r="E22" s="33">
        <v>3059.22</v>
      </c>
      <c r="F22" s="34">
        <f t="shared" ref="F22:F33" si="2">(D22-E22)/E22</f>
        <v>-0.85813050385392364</v>
      </c>
      <c r="G22" s="35">
        <v>79</v>
      </c>
      <c r="H22" s="36">
        <v>7</v>
      </c>
      <c r="I22" s="36">
        <f t="shared" si="1"/>
        <v>11.285714285714286</v>
      </c>
      <c r="J22" s="31">
        <v>2</v>
      </c>
      <c r="K22" s="31">
        <v>12</v>
      </c>
      <c r="L22" s="33">
        <v>324721.77</v>
      </c>
      <c r="M22" s="35">
        <v>64353</v>
      </c>
      <c r="N22" s="37">
        <v>44960</v>
      </c>
      <c r="O22" s="38" t="s">
        <v>21</v>
      </c>
      <c r="R22" s="31"/>
    </row>
    <row r="23" spans="1:19" s="39" customFormat="1" ht="24.95" customHeight="1" x14ac:dyDescent="0.2">
      <c r="A23" s="31">
        <v>21</v>
      </c>
      <c r="B23" s="13">
        <v>19</v>
      </c>
      <c r="C23" s="14" t="s">
        <v>58</v>
      </c>
      <c r="D23" s="15">
        <v>328.35</v>
      </c>
      <c r="E23" s="15">
        <v>916.9</v>
      </c>
      <c r="F23" s="16">
        <f t="shared" si="2"/>
        <v>-0.64189115497873261</v>
      </c>
      <c r="G23" s="17">
        <v>64</v>
      </c>
      <c r="H23" s="18">
        <v>3</v>
      </c>
      <c r="I23" s="18">
        <f t="shared" si="1"/>
        <v>21.333333333333332</v>
      </c>
      <c r="J23" s="13">
        <v>3</v>
      </c>
      <c r="K23" s="13">
        <v>3</v>
      </c>
      <c r="L23" s="15">
        <v>6126.9400000000005</v>
      </c>
      <c r="M23" s="17">
        <v>1125</v>
      </c>
      <c r="N23" s="19">
        <v>45023</v>
      </c>
      <c r="O23" s="20" t="s">
        <v>59</v>
      </c>
      <c r="R23" s="31"/>
    </row>
    <row r="24" spans="1:19" s="39" customFormat="1" ht="24.75" customHeight="1" x14ac:dyDescent="0.2">
      <c r="A24" s="31">
        <v>22</v>
      </c>
      <c r="B24" s="31">
        <v>15</v>
      </c>
      <c r="C24" s="41" t="s">
        <v>45</v>
      </c>
      <c r="D24" s="33">
        <v>319.24</v>
      </c>
      <c r="E24" s="33">
        <v>1530.12</v>
      </c>
      <c r="F24" s="34">
        <f t="shared" si="2"/>
        <v>-0.7913627689331556</v>
      </c>
      <c r="G24" s="31">
        <v>65</v>
      </c>
      <c r="H24" s="36">
        <v>5</v>
      </c>
      <c r="I24" s="36">
        <f t="shared" si="1"/>
        <v>13</v>
      </c>
      <c r="J24" s="31">
        <v>2</v>
      </c>
      <c r="K24" s="31">
        <v>18</v>
      </c>
      <c r="L24" s="33">
        <v>1044383.57</v>
      </c>
      <c r="M24" s="35">
        <v>194339</v>
      </c>
      <c r="N24" s="37">
        <v>44916</v>
      </c>
      <c r="O24" s="31" t="s">
        <v>46</v>
      </c>
      <c r="R24" s="31"/>
    </row>
    <row r="25" spans="1:19" s="43" customFormat="1" ht="24.75" customHeight="1" x14ac:dyDescent="0.15">
      <c r="A25" s="31">
        <v>23</v>
      </c>
      <c r="B25" s="31">
        <v>22</v>
      </c>
      <c r="C25" s="32" t="s">
        <v>90</v>
      </c>
      <c r="D25" s="33">
        <v>186.7</v>
      </c>
      <c r="E25" s="33">
        <v>635.9</v>
      </c>
      <c r="F25" s="34">
        <f t="shared" si="2"/>
        <v>-0.70640037741783301</v>
      </c>
      <c r="G25" s="35">
        <v>26</v>
      </c>
      <c r="H25" s="36">
        <v>2</v>
      </c>
      <c r="I25" s="36">
        <f t="shared" si="1"/>
        <v>13</v>
      </c>
      <c r="J25" s="31">
        <v>2</v>
      </c>
      <c r="K25" s="31" t="s">
        <v>17</v>
      </c>
      <c r="L25" s="33">
        <v>39507.480000000003</v>
      </c>
      <c r="M25" s="35">
        <v>6707</v>
      </c>
      <c r="N25" s="37">
        <v>44678</v>
      </c>
      <c r="O25" s="38" t="s">
        <v>33</v>
      </c>
      <c r="R25" s="31"/>
      <c r="S25" s="39"/>
    </row>
    <row r="26" spans="1:19" ht="24.95" customHeight="1" x14ac:dyDescent="0.15">
      <c r="A26" s="31">
        <v>24</v>
      </c>
      <c r="B26" s="31">
        <v>29</v>
      </c>
      <c r="C26" s="32" t="s">
        <v>47</v>
      </c>
      <c r="D26" s="33">
        <v>172</v>
      </c>
      <c r="E26" s="33">
        <v>241</v>
      </c>
      <c r="F26" s="34">
        <f t="shared" si="2"/>
        <v>-0.2863070539419087</v>
      </c>
      <c r="G26" s="35">
        <v>34</v>
      </c>
      <c r="H26" s="36">
        <v>1</v>
      </c>
      <c r="I26" s="36">
        <f t="shared" si="1"/>
        <v>34</v>
      </c>
      <c r="J26" s="31">
        <v>1</v>
      </c>
      <c r="K26" s="31">
        <v>10</v>
      </c>
      <c r="L26" s="33">
        <v>274667.63</v>
      </c>
      <c r="M26" s="35">
        <v>46048</v>
      </c>
      <c r="N26" s="37">
        <v>44973</v>
      </c>
      <c r="O26" s="38" t="s">
        <v>25</v>
      </c>
      <c r="R26" s="13"/>
      <c r="S26" s="2"/>
    </row>
    <row r="27" spans="1:19" ht="24.95" customHeight="1" x14ac:dyDescent="0.15">
      <c r="A27" s="31">
        <v>25</v>
      </c>
      <c r="B27" s="31">
        <v>30</v>
      </c>
      <c r="C27" s="32" t="s">
        <v>48</v>
      </c>
      <c r="D27" s="33">
        <v>59.4</v>
      </c>
      <c r="E27" s="33">
        <v>183.1</v>
      </c>
      <c r="F27" s="34">
        <f t="shared" si="2"/>
        <v>-0.67558711086837786</v>
      </c>
      <c r="G27" s="35">
        <v>8</v>
      </c>
      <c r="H27" s="36">
        <v>1</v>
      </c>
      <c r="I27" s="36">
        <f t="shared" si="1"/>
        <v>8</v>
      </c>
      <c r="J27" s="31">
        <v>1</v>
      </c>
      <c r="K27" s="31" t="s">
        <v>17</v>
      </c>
      <c r="L27" s="33">
        <v>35142</v>
      </c>
      <c r="M27" s="35">
        <v>5638</v>
      </c>
      <c r="N27" s="37">
        <v>44960</v>
      </c>
      <c r="O27" s="38" t="s">
        <v>49</v>
      </c>
      <c r="R27" s="13"/>
      <c r="S27" s="2"/>
    </row>
    <row r="28" spans="1:19" ht="24.75" customHeight="1" x14ac:dyDescent="0.15">
      <c r="A28" s="31">
        <v>26</v>
      </c>
      <c r="B28" s="31">
        <v>25</v>
      </c>
      <c r="C28" s="32" t="s">
        <v>50</v>
      </c>
      <c r="D28" s="33">
        <v>56</v>
      </c>
      <c r="E28" s="33">
        <v>476.9</v>
      </c>
      <c r="F28" s="34">
        <f t="shared" si="2"/>
        <v>-0.882574963304676</v>
      </c>
      <c r="G28" s="35">
        <v>13</v>
      </c>
      <c r="H28" s="36">
        <v>3</v>
      </c>
      <c r="I28" s="36">
        <f t="shared" si="1"/>
        <v>4.333333333333333</v>
      </c>
      <c r="J28" s="31">
        <v>2</v>
      </c>
      <c r="K28" s="31">
        <v>2</v>
      </c>
      <c r="L28" s="33">
        <v>669.6</v>
      </c>
      <c r="M28" s="35">
        <v>129</v>
      </c>
      <c r="N28" s="37">
        <v>45030</v>
      </c>
      <c r="O28" s="38" t="s">
        <v>30</v>
      </c>
      <c r="R28" s="13"/>
      <c r="S28" s="2"/>
    </row>
    <row r="29" spans="1:19" ht="24.75" customHeight="1" x14ac:dyDescent="0.15">
      <c r="A29" s="31">
        <v>27</v>
      </c>
      <c r="B29" s="31">
        <v>35</v>
      </c>
      <c r="C29" s="32" t="s">
        <v>51</v>
      </c>
      <c r="D29" s="33">
        <v>46</v>
      </c>
      <c r="E29" s="33">
        <v>70</v>
      </c>
      <c r="F29" s="34">
        <f t="shared" si="2"/>
        <v>-0.34285714285714286</v>
      </c>
      <c r="G29" s="35">
        <v>8</v>
      </c>
      <c r="H29" s="36">
        <v>1</v>
      </c>
      <c r="I29" s="36">
        <f t="shared" si="1"/>
        <v>8</v>
      </c>
      <c r="J29" s="31">
        <v>1</v>
      </c>
      <c r="K29" s="31" t="s">
        <v>17</v>
      </c>
      <c r="L29" s="33">
        <v>11509.6</v>
      </c>
      <c r="M29" s="35">
        <v>2083</v>
      </c>
      <c r="N29" s="37">
        <v>45009</v>
      </c>
      <c r="O29" s="38" t="s">
        <v>23</v>
      </c>
    </row>
    <row r="30" spans="1:19" ht="24.75" customHeight="1" x14ac:dyDescent="0.15">
      <c r="A30" s="31">
        <v>28</v>
      </c>
      <c r="B30" s="31">
        <v>16</v>
      </c>
      <c r="C30" s="41" t="s">
        <v>52</v>
      </c>
      <c r="D30" s="33">
        <v>34.1</v>
      </c>
      <c r="E30" s="33">
        <v>1468.06</v>
      </c>
      <c r="F30" s="34">
        <f t="shared" si="2"/>
        <v>-0.97677206653679016</v>
      </c>
      <c r="G30" s="31">
        <v>8</v>
      </c>
      <c r="H30" s="36">
        <v>2</v>
      </c>
      <c r="I30" s="36">
        <f t="shared" si="1"/>
        <v>4</v>
      </c>
      <c r="J30" s="31">
        <v>1</v>
      </c>
      <c r="K30" s="31">
        <v>4</v>
      </c>
      <c r="L30" s="33">
        <v>37325.81</v>
      </c>
      <c r="M30" s="35">
        <v>7597</v>
      </c>
      <c r="N30" s="37">
        <v>45016</v>
      </c>
      <c r="O30" s="31" t="s">
        <v>53</v>
      </c>
    </row>
    <row r="31" spans="1:19" ht="24.75" customHeight="1" x14ac:dyDescent="0.15">
      <c r="A31" s="31">
        <v>29</v>
      </c>
      <c r="B31" s="31">
        <v>24</v>
      </c>
      <c r="C31" s="32" t="s">
        <v>54</v>
      </c>
      <c r="D31" s="33">
        <v>15</v>
      </c>
      <c r="E31" s="33">
        <v>586.15</v>
      </c>
      <c r="F31" s="34">
        <f t="shared" si="2"/>
        <v>-0.97440928090079326</v>
      </c>
      <c r="G31" s="35">
        <v>3</v>
      </c>
      <c r="H31" s="36">
        <v>1</v>
      </c>
      <c r="I31" s="36">
        <f t="shared" si="1"/>
        <v>3</v>
      </c>
      <c r="J31" s="31">
        <v>1</v>
      </c>
      <c r="K31" s="31">
        <v>9</v>
      </c>
      <c r="L31" s="33">
        <v>71074.53</v>
      </c>
      <c r="M31" s="35">
        <v>14603</v>
      </c>
      <c r="N31" s="37">
        <v>44981</v>
      </c>
      <c r="O31" s="38" t="s">
        <v>33</v>
      </c>
    </row>
    <row r="32" spans="1:19" ht="24.6" customHeight="1" x14ac:dyDescent="0.15">
      <c r="A32" s="31">
        <v>30</v>
      </c>
      <c r="B32" s="31">
        <v>23</v>
      </c>
      <c r="C32" s="32" t="s">
        <v>55</v>
      </c>
      <c r="D32" s="33">
        <v>12.2</v>
      </c>
      <c r="E32" s="33">
        <v>609.79999999999995</v>
      </c>
      <c r="F32" s="34">
        <f t="shared" si="2"/>
        <v>-0.97999344047228587</v>
      </c>
      <c r="G32" s="35">
        <v>2</v>
      </c>
      <c r="H32" s="36">
        <v>1</v>
      </c>
      <c r="I32" s="36">
        <f t="shared" si="1"/>
        <v>2</v>
      </c>
      <c r="J32" s="31">
        <v>1</v>
      </c>
      <c r="K32" s="31">
        <v>6</v>
      </c>
      <c r="L32" s="33">
        <v>64526.44</v>
      </c>
      <c r="M32" s="35">
        <v>11748</v>
      </c>
      <c r="N32" s="37">
        <v>45002</v>
      </c>
      <c r="O32" s="38" t="s">
        <v>25</v>
      </c>
    </row>
    <row r="33" spans="1:15" s="71" customFormat="1" ht="24.75" customHeight="1" x14ac:dyDescent="0.2">
      <c r="B33" s="70"/>
      <c r="C33" s="73" t="s">
        <v>93</v>
      </c>
      <c r="D33" s="72">
        <f>SUBTOTAL(109,Table13[Pajamos 
(GBO)])</f>
        <v>173340.08000000002</v>
      </c>
      <c r="E33" s="72" t="s">
        <v>94</v>
      </c>
      <c r="F33" s="74">
        <f t="shared" si="2"/>
        <v>-0.38587201598560156</v>
      </c>
      <c r="G33" s="75">
        <f>SUBTOTAL(109,Table13[Žiūrovų sk. 
(ADM)])</f>
        <v>29238</v>
      </c>
    </row>
    <row r="34" spans="1:15" ht="24.75" hidden="1" customHeight="1" x14ac:dyDescent="0.15">
      <c r="A34" s="23"/>
      <c r="B34" s="23"/>
      <c r="C34" s="30"/>
      <c r="D34" s="24"/>
      <c r="E34" s="24"/>
      <c r="F34" s="25"/>
      <c r="G34" s="26"/>
      <c r="H34" s="27"/>
      <c r="I34" s="23"/>
      <c r="J34" s="27"/>
      <c r="K34" s="27"/>
      <c r="L34" s="26"/>
      <c r="M34" s="26"/>
      <c r="N34" s="28"/>
      <c r="O34" s="29"/>
    </row>
    <row r="35" spans="1:15" ht="24.75" hidden="1" customHeight="1" x14ac:dyDescent="0.15">
      <c r="A35" s="13"/>
      <c r="B35" s="22"/>
      <c r="C35" s="21"/>
      <c r="D35" s="15"/>
      <c r="E35" s="15"/>
      <c r="F35" s="16"/>
      <c r="G35" s="13"/>
      <c r="H35" s="13"/>
      <c r="I35" s="13"/>
      <c r="J35" s="13"/>
      <c r="K35" s="13"/>
      <c r="L35" s="15"/>
      <c r="M35" s="17"/>
      <c r="N35" s="19"/>
      <c r="O35" s="13"/>
    </row>
    <row r="36" spans="1:15" ht="24.95" hidden="1" customHeight="1" x14ac:dyDescent="0.15">
      <c r="B36" s="8"/>
      <c r="C36" s="10"/>
      <c r="D36" s="3"/>
      <c r="E36" s="3"/>
      <c r="F36" s="4"/>
      <c r="G36" s="2"/>
      <c r="H36" s="2"/>
      <c r="I36" s="7"/>
      <c r="J36" s="2"/>
      <c r="K36" s="2"/>
      <c r="L36" s="3"/>
      <c r="M36" s="6"/>
      <c r="N36" s="12"/>
      <c r="O36" s="2"/>
    </row>
    <row r="37" spans="1:15" ht="24.95" hidden="1" customHeight="1" x14ac:dyDescent="0.15">
      <c r="B37" s="8"/>
      <c r="C37" s="10"/>
      <c r="D37" s="3"/>
      <c r="E37" s="3"/>
      <c r="F37" s="4"/>
      <c r="G37" s="2"/>
      <c r="H37" s="2"/>
      <c r="I37" s="7"/>
      <c r="J37" s="2"/>
      <c r="K37" s="2"/>
      <c r="L37" s="3"/>
      <c r="M37" s="6"/>
      <c r="N37" s="12"/>
      <c r="O37" s="2"/>
    </row>
    <row r="38" spans="1:15" ht="24.95" hidden="1" customHeight="1" x14ac:dyDescent="0.15">
      <c r="B38" s="8"/>
      <c r="C38" s="10"/>
      <c r="D38" s="3"/>
      <c r="E38" s="3"/>
      <c r="F38" s="4"/>
      <c r="G38" s="2"/>
      <c r="H38" s="2"/>
      <c r="I38" s="7"/>
      <c r="J38" s="2"/>
      <c r="K38" s="2"/>
      <c r="L38" s="3"/>
      <c r="M38" s="6"/>
      <c r="N38" s="12"/>
      <c r="O38" s="2"/>
    </row>
    <row r="39" spans="1:15" ht="24.95" hidden="1" customHeight="1" x14ac:dyDescent="0.15">
      <c r="B39" s="8"/>
      <c r="C39" s="10"/>
      <c r="D39" s="3"/>
      <c r="E39" s="3"/>
      <c r="F39" s="4"/>
      <c r="G39" s="2"/>
      <c r="H39" s="2"/>
      <c r="I39" s="7"/>
      <c r="J39" s="2"/>
      <c r="K39" s="2"/>
      <c r="L39" s="3"/>
      <c r="M39" s="6"/>
      <c r="N39" s="12"/>
      <c r="O39" s="2"/>
    </row>
    <row r="40" spans="1:15" ht="24.95" hidden="1" customHeight="1" x14ac:dyDescent="0.15">
      <c r="B40" s="8"/>
      <c r="C40" s="10"/>
      <c r="D40" s="3"/>
      <c r="E40" s="3"/>
      <c r="F40" s="4"/>
      <c r="G40" s="2"/>
      <c r="H40" s="2"/>
      <c r="I40" s="7"/>
      <c r="J40" s="2"/>
      <c r="K40" s="2"/>
      <c r="L40" s="3"/>
      <c r="M40" s="6"/>
      <c r="N40" s="12"/>
      <c r="O40" s="2"/>
    </row>
    <row r="41" spans="1:15" ht="24.95" hidden="1" customHeight="1" x14ac:dyDescent="0.15">
      <c r="B41" s="8"/>
      <c r="C41" s="10"/>
      <c r="D41" s="5"/>
      <c r="E41" s="3"/>
      <c r="F41" s="4"/>
      <c r="G41" s="2"/>
      <c r="H41" s="2"/>
      <c r="I41" s="7"/>
      <c r="J41" s="2"/>
      <c r="K41" s="2"/>
      <c r="L41" s="3"/>
      <c r="M41" s="6"/>
      <c r="N41" s="12"/>
      <c r="O41" s="2"/>
    </row>
    <row r="42" spans="1:15" ht="24.95" hidden="1" customHeight="1" x14ac:dyDescent="0.15">
      <c r="B42" s="8"/>
      <c r="C42" s="10"/>
      <c r="D42" s="5"/>
      <c r="E42" s="3"/>
      <c r="F42" s="4"/>
      <c r="G42" s="2"/>
      <c r="H42" s="2"/>
      <c r="I42" s="7"/>
      <c r="J42" s="2"/>
      <c r="K42" s="2"/>
      <c r="L42" s="3"/>
      <c r="M42" s="6"/>
      <c r="N42" s="12"/>
      <c r="O42" s="2"/>
    </row>
    <row r="43" spans="1:15" ht="24.95" hidden="1" customHeight="1" x14ac:dyDescent="0.15">
      <c r="B43" s="8"/>
      <c r="C43" s="10"/>
      <c r="D43" s="5"/>
      <c r="E43" s="3"/>
      <c r="F43" s="4"/>
      <c r="G43" s="2"/>
      <c r="H43" s="2"/>
      <c r="I43" s="7"/>
      <c r="J43" s="2"/>
      <c r="K43" s="2"/>
      <c r="L43" s="3"/>
      <c r="M43" s="6"/>
      <c r="N43" s="12"/>
      <c r="O43" s="2"/>
    </row>
    <row r="44" spans="1:15" ht="24.95" hidden="1" customHeight="1" x14ac:dyDescent="0.15">
      <c r="B44" s="8"/>
      <c r="C44" s="10"/>
      <c r="D44" s="5"/>
      <c r="E44" s="3"/>
      <c r="F44" s="4"/>
      <c r="G44" s="2"/>
      <c r="H44" s="2"/>
      <c r="I44" s="7"/>
      <c r="J44" s="2"/>
      <c r="K44" s="2"/>
      <c r="L44" s="3"/>
      <c r="M44" s="6"/>
      <c r="N44" s="12"/>
      <c r="O44" s="2"/>
    </row>
    <row r="45" spans="1:15" ht="24.95" hidden="1" customHeight="1" x14ac:dyDescent="0.15">
      <c r="B45" s="8"/>
      <c r="C45" s="10"/>
      <c r="D45" s="5"/>
      <c r="E45" s="3"/>
      <c r="F45" s="4"/>
      <c r="G45" s="2"/>
      <c r="H45" s="2"/>
      <c r="I45" s="7"/>
      <c r="J45" s="2"/>
      <c r="K45" s="2"/>
      <c r="L45" s="3"/>
      <c r="M45" s="7"/>
      <c r="N45" s="12"/>
      <c r="O45" s="2"/>
    </row>
    <row r="46" spans="1:15" ht="24.95" hidden="1" customHeight="1" x14ac:dyDescent="0.15">
      <c r="B46" s="8"/>
      <c r="C46" s="10"/>
      <c r="D46" s="5"/>
      <c r="E46" s="3"/>
      <c r="F46" s="4"/>
      <c r="G46" s="2"/>
      <c r="H46" s="2"/>
      <c r="I46" s="7"/>
      <c r="J46" s="2"/>
      <c r="K46" s="2"/>
      <c r="L46" s="3"/>
      <c r="M46" s="7"/>
      <c r="N46" s="12"/>
      <c r="O46" s="2"/>
    </row>
    <row r="47" spans="1:15" ht="24.95" hidden="1" customHeight="1" x14ac:dyDescent="0.15">
      <c r="B47" s="8"/>
      <c r="C47" s="11"/>
      <c r="F47" s="4"/>
      <c r="I47" s="7"/>
      <c r="L47" s="3"/>
      <c r="O47" s="2"/>
    </row>
    <row r="48" spans="1:15" ht="24.95" hidden="1" customHeight="1" x14ac:dyDescent="0.15">
      <c r="B48" s="8"/>
      <c r="C48" s="11"/>
      <c r="F48" s="4"/>
      <c r="I48" s="7"/>
      <c r="L48" s="3"/>
      <c r="O48" s="2"/>
    </row>
    <row r="49" spans="2:12" ht="24.95" hidden="1" customHeight="1" x14ac:dyDescent="0.15">
      <c r="B49" s="8"/>
      <c r="C49" s="11"/>
      <c r="F49" s="4"/>
      <c r="I49" s="7"/>
      <c r="L49" s="3"/>
    </row>
    <row r="50" spans="2:12" ht="24.95" hidden="1" customHeight="1" x14ac:dyDescent="0.15">
      <c r="B50" s="8"/>
      <c r="C50" s="11"/>
      <c r="F50" s="4"/>
      <c r="L50" s="3"/>
    </row>
    <row r="51" spans="2:12" ht="24.95" hidden="1" customHeight="1" x14ac:dyDescent="0.15">
      <c r="F51" s="4"/>
      <c r="L51" s="3"/>
    </row>
    <row r="52" spans="2:12" hidden="1" x14ac:dyDescent="0.15">
      <c r="F52" s="4"/>
      <c r="L52" s="3"/>
    </row>
    <row r="53" spans="2:12" hidden="1" x14ac:dyDescent="0.15">
      <c r="F53" s="4"/>
      <c r="L53" s="3"/>
    </row>
    <row r="54" spans="2:12" hidden="1" x14ac:dyDescent="0.15">
      <c r="F54" s="4"/>
      <c r="L54" s="3"/>
    </row>
    <row r="55" spans="2:12" hidden="1" x14ac:dyDescent="0.15">
      <c r="F55" s="4"/>
      <c r="L55" s="3"/>
    </row>
    <row r="56" spans="2:12" hidden="1" x14ac:dyDescent="0.15">
      <c r="F56" s="4"/>
      <c r="L56" s="3"/>
    </row>
    <row r="57" spans="2:12" hidden="1" x14ac:dyDescent="0.15">
      <c r="F57" s="4"/>
      <c r="L57" s="3"/>
    </row>
    <row r="58" spans="2:12" hidden="1" x14ac:dyDescent="0.15">
      <c r="F58" s="4"/>
      <c r="L58" s="3"/>
    </row>
    <row r="59" spans="2:12" hidden="1" x14ac:dyDescent="0.15">
      <c r="F59" s="4"/>
      <c r="L59" s="3"/>
    </row>
    <row r="60" spans="2:12" hidden="1" x14ac:dyDescent="0.15">
      <c r="F60" s="4"/>
      <c r="L60" s="3"/>
    </row>
    <row r="61" spans="2:12" hidden="1" x14ac:dyDescent="0.15">
      <c r="F61" s="4"/>
      <c r="L61" s="3"/>
    </row>
    <row r="62" spans="2:12" hidden="1" x14ac:dyDescent="0.15">
      <c r="F62" s="4"/>
      <c r="L62" s="3"/>
    </row>
    <row r="63" spans="2:12" hidden="1" x14ac:dyDescent="0.15">
      <c r="F63" s="4"/>
      <c r="L63" s="3"/>
    </row>
    <row r="64" spans="2:12" hidden="1" x14ac:dyDescent="0.15">
      <c r="F64" s="4"/>
      <c r="L64" s="3"/>
    </row>
    <row r="65" spans="6:6" hidden="1" x14ac:dyDescent="0.15">
      <c r="F65" s="4"/>
    </row>
    <row r="66" spans="6:6" hidden="1" x14ac:dyDescent="0.15">
      <c r="F66" s="4"/>
    </row>
    <row r="67" spans="6:6" hidden="1" x14ac:dyDescent="0.15">
      <c r="F67" s="4"/>
    </row>
    <row r="68" spans="6:6" hidden="1" x14ac:dyDescent="0.15">
      <c r="F68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E4707-9DD1-4F55-9928-3FC2E153F685}">
  <dimension ref="A1:XFC61"/>
  <sheetViews>
    <sheetView zoomScale="60" zoomScaleNormal="60" workbookViewId="0">
      <selection activeCell="C31" sqref="C31:O31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1.4257812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256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1">
        <v>1</v>
      </c>
      <c r="C3" s="32" t="s">
        <v>252</v>
      </c>
      <c r="D3" s="33">
        <v>39686.480000000003</v>
      </c>
      <c r="E3" s="33">
        <v>50635.839999999997</v>
      </c>
      <c r="F3" s="34">
        <f>(D3-E3)/E3</f>
        <v>-0.2162373528315121</v>
      </c>
      <c r="G3" s="35">
        <v>5048</v>
      </c>
      <c r="H3" s="36">
        <v>87</v>
      </c>
      <c r="I3" s="92">
        <f>G3/H3</f>
        <v>58.022988505747129</v>
      </c>
      <c r="J3" s="36">
        <v>11</v>
      </c>
      <c r="K3" s="36">
        <v>2</v>
      </c>
      <c r="L3" s="33">
        <v>127413.53</v>
      </c>
      <c r="M3" s="35">
        <v>16865</v>
      </c>
      <c r="N3" s="37">
        <v>45177</v>
      </c>
      <c r="O3" s="67" t="s">
        <v>21</v>
      </c>
      <c r="P3" s="89"/>
    </row>
    <row r="4" spans="1:18" s="39" customFormat="1" ht="24.6" customHeight="1" x14ac:dyDescent="0.2">
      <c r="A4" s="31">
        <v>2</v>
      </c>
      <c r="B4" s="31" t="s">
        <v>15</v>
      </c>
      <c r="C4" s="32" t="s">
        <v>255</v>
      </c>
      <c r="D4" s="96">
        <v>28030.92</v>
      </c>
      <c r="E4" s="34" t="s">
        <v>17</v>
      </c>
      <c r="F4" s="34" t="s">
        <v>17</v>
      </c>
      <c r="G4" s="93">
        <v>5317</v>
      </c>
      <c r="H4" s="92">
        <v>140</v>
      </c>
      <c r="I4" s="92">
        <f>G4/H4</f>
        <v>37.978571428571428</v>
      </c>
      <c r="J4" s="92">
        <v>16</v>
      </c>
      <c r="K4" s="92">
        <v>1</v>
      </c>
      <c r="L4" s="96">
        <v>33802.92</v>
      </c>
      <c r="M4" s="93">
        <v>6346</v>
      </c>
      <c r="N4" s="37">
        <v>45184</v>
      </c>
      <c r="O4" s="67" t="s">
        <v>25</v>
      </c>
      <c r="P4" s="89"/>
    </row>
    <row r="5" spans="1:18" s="39" customFormat="1" ht="24.6" customHeight="1" x14ac:dyDescent="0.2">
      <c r="A5" s="31">
        <v>3</v>
      </c>
      <c r="B5" s="36" t="s">
        <v>15</v>
      </c>
      <c r="C5" s="32" t="s">
        <v>258</v>
      </c>
      <c r="D5" s="33">
        <v>27386</v>
      </c>
      <c r="E5" s="34" t="s">
        <v>17</v>
      </c>
      <c r="F5" s="34" t="s">
        <v>17</v>
      </c>
      <c r="G5" s="35">
        <v>3898</v>
      </c>
      <c r="H5" s="34" t="s">
        <v>17</v>
      </c>
      <c r="I5" s="34" t="s">
        <v>17</v>
      </c>
      <c r="J5" s="36">
        <v>14</v>
      </c>
      <c r="K5" s="36">
        <v>1</v>
      </c>
      <c r="L5" s="33">
        <v>38607</v>
      </c>
      <c r="M5" s="35">
        <v>5140</v>
      </c>
      <c r="N5" s="37">
        <v>45184</v>
      </c>
      <c r="O5" s="59" t="s">
        <v>28</v>
      </c>
      <c r="P5" s="89"/>
      <c r="R5" s="31"/>
    </row>
    <row r="6" spans="1:18" s="39" customFormat="1" ht="24.95" customHeight="1" x14ac:dyDescent="0.2">
      <c r="A6" s="31">
        <v>4</v>
      </c>
      <c r="B6" s="36" t="s">
        <v>15</v>
      </c>
      <c r="C6" s="32" t="s">
        <v>259</v>
      </c>
      <c r="D6" s="96">
        <v>19790.8</v>
      </c>
      <c r="E6" s="96" t="s">
        <v>17</v>
      </c>
      <c r="F6" s="34" t="s">
        <v>17</v>
      </c>
      <c r="G6" s="93">
        <v>2685</v>
      </c>
      <c r="H6" s="92">
        <v>113</v>
      </c>
      <c r="I6" s="92">
        <v>91</v>
      </c>
      <c r="J6" s="92">
        <v>19</v>
      </c>
      <c r="K6" s="92">
        <v>1</v>
      </c>
      <c r="L6" s="96">
        <v>20371.45</v>
      </c>
      <c r="M6" s="93">
        <v>2776</v>
      </c>
      <c r="N6" s="37">
        <v>45184</v>
      </c>
      <c r="O6" s="59" t="s">
        <v>49</v>
      </c>
      <c r="P6" s="87"/>
      <c r="R6" s="31"/>
    </row>
    <row r="7" spans="1:18" s="39" customFormat="1" ht="24.6" customHeight="1" x14ac:dyDescent="0.2">
      <c r="A7" s="31">
        <v>5</v>
      </c>
      <c r="B7" s="31">
        <v>2</v>
      </c>
      <c r="C7" s="32" t="s">
        <v>193</v>
      </c>
      <c r="D7" s="96">
        <v>11358.14</v>
      </c>
      <c r="E7" s="96">
        <v>11464.12</v>
      </c>
      <c r="F7" s="34">
        <f t="shared" ref="F7:F12" si="0">(D7-E7)/E7</f>
        <v>-9.2444949983078832E-3</v>
      </c>
      <c r="G7" s="93">
        <v>1577</v>
      </c>
      <c r="H7" s="92">
        <v>47</v>
      </c>
      <c r="I7" s="92">
        <f t="shared" ref="I7:I12" si="1">G7/H7</f>
        <v>33.553191489361701</v>
      </c>
      <c r="J7" s="92">
        <v>9</v>
      </c>
      <c r="K7" s="92">
        <v>9</v>
      </c>
      <c r="L7" s="96">
        <v>1026649.04</v>
      </c>
      <c r="M7" s="93">
        <v>143961</v>
      </c>
      <c r="N7" s="37">
        <v>45128</v>
      </c>
      <c r="O7" s="59" t="s">
        <v>160</v>
      </c>
      <c r="P7" s="89"/>
      <c r="R7" s="31"/>
    </row>
    <row r="8" spans="1:18" s="39" customFormat="1" ht="24.95" customHeight="1" x14ac:dyDescent="0.2">
      <c r="A8" s="31">
        <v>6</v>
      </c>
      <c r="B8" s="31">
        <v>3</v>
      </c>
      <c r="C8" s="32" t="s">
        <v>236</v>
      </c>
      <c r="D8" s="96">
        <v>10143.82</v>
      </c>
      <c r="E8" s="96">
        <v>11290.13</v>
      </c>
      <c r="F8" s="34">
        <f t="shared" si="0"/>
        <v>-0.1015320461323297</v>
      </c>
      <c r="G8" s="93">
        <v>1877</v>
      </c>
      <c r="H8" s="92">
        <v>80</v>
      </c>
      <c r="I8" s="92">
        <f t="shared" si="1"/>
        <v>23.462499999999999</v>
      </c>
      <c r="J8" s="92">
        <v>14</v>
      </c>
      <c r="K8" s="92">
        <v>4</v>
      </c>
      <c r="L8" s="96">
        <v>96073.13</v>
      </c>
      <c r="M8" s="93">
        <v>19491</v>
      </c>
      <c r="N8" s="37">
        <v>45163</v>
      </c>
      <c r="O8" s="59" t="s">
        <v>33</v>
      </c>
      <c r="P8" s="89"/>
      <c r="R8" s="31"/>
    </row>
    <row r="9" spans="1:18" s="83" customFormat="1" ht="24.95" customHeight="1" x14ac:dyDescent="0.2">
      <c r="A9" s="31">
        <v>7</v>
      </c>
      <c r="B9" s="31">
        <v>6</v>
      </c>
      <c r="C9" s="32" t="s">
        <v>216</v>
      </c>
      <c r="D9" s="96">
        <v>9139.4</v>
      </c>
      <c r="E9" s="96">
        <v>8703.3700000000008</v>
      </c>
      <c r="F9" s="34">
        <f t="shared" si="0"/>
        <v>5.0098984646177146E-2</v>
      </c>
      <c r="G9" s="93">
        <v>1349</v>
      </c>
      <c r="H9" s="92">
        <v>30</v>
      </c>
      <c r="I9" s="92">
        <f t="shared" si="1"/>
        <v>44.966666666666669</v>
      </c>
      <c r="J9" s="92">
        <v>6</v>
      </c>
      <c r="K9" s="92">
        <v>6</v>
      </c>
      <c r="L9" s="96">
        <v>206538.26</v>
      </c>
      <c r="M9" s="93">
        <v>32705</v>
      </c>
      <c r="N9" s="37">
        <v>45149</v>
      </c>
      <c r="O9" s="59" t="s">
        <v>23</v>
      </c>
      <c r="P9" s="89"/>
      <c r="R9" s="82"/>
    </row>
    <row r="10" spans="1:18" s="39" customFormat="1" ht="24.95" customHeight="1" x14ac:dyDescent="0.2">
      <c r="A10" s="31">
        <v>8</v>
      </c>
      <c r="B10" s="31">
        <v>4</v>
      </c>
      <c r="C10" s="32" t="s">
        <v>246</v>
      </c>
      <c r="D10" s="96">
        <v>7771.4</v>
      </c>
      <c r="E10" s="96">
        <v>10032.290000000001</v>
      </c>
      <c r="F10" s="34">
        <f t="shared" si="0"/>
        <v>-0.22536130833538515</v>
      </c>
      <c r="G10" s="93">
        <v>1062</v>
      </c>
      <c r="H10" s="92">
        <v>35</v>
      </c>
      <c r="I10" s="92">
        <f t="shared" si="1"/>
        <v>30.342857142857142</v>
      </c>
      <c r="J10" s="92">
        <v>8</v>
      </c>
      <c r="K10" s="92">
        <v>3</v>
      </c>
      <c r="L10" s="96">
        <v>58855.68</v>
      </c>
      <c r="M10" s="93">
        <v>8323</v>
      </c>
      <c r="N10" s="37">
        <v>45170</v>
      </c>
      <c r="O10" s="59" t="s">
        <v>23</v>
      </c>
      <c r="P10" s="89"/>
      <c r="R10" s="31"/>
    </row>
    <row r="11" spans="1:18" s="39" customFormat="1" ht="24.95" customHeight="1" x14ac:dyDescent="0.2">
      <c r="A11" s="31">
        <v>9</v>
      </c>
      <c r="B11" s="31">
        <v>5</v>
      </c>
      <c r="C11" s="32" t="s">
        <v>189</v>
      </c>
      <c r="D11" s="96">
        <v>6948.8</v>
      </c>
      <c r="E11" s="96">
        <v>9326.57</v>
      </c>
      <c r="F11" s="34">
        <f t="shared" si="0"/>
        <v>-0.25494581609316175</v>
      </c>
      <c r="G11" s="93">
        <v>1037</v>
      </c>
      <c r="H11" s="92">
        <v>59</v>
      </c>
      <c r="I11" s="92">
        <f t="shared" si="1"/>
        <v>17.576271186440678</v>
      </c>
      <c r="J11" s="92">
        <v>11</v>
      </c>
      <c r="K11" s="92">
        <v>9</v>
      </c>
      <c r="L11" s="96">
        <v>1143511.58</v>
      </c>
      <c r="M11" s="93">
        <v>173906</v>
      </c>
      <c r="N11" s="37">
        <v>45128</v>
      </c>
      <c r="O11" s="59" t="s">
        <v>21</v>
      </c>
      <c r="P11" s="89"/>
      <c r="R11" s="31"/>
    </row>
    <row r="12" spans="1:18" s="43" customFormat="1" ht="24.6" customHeight="1" x14ac:dyDescent="0.15">
      <c r="A12" s="31">
        <v>10</v>
      </c>
      <c r="B12" s="31">
        <v>8</v>
      </c>
      <c r="C12" s="32" t="s">
        <v>154</v>
      </c>
      <c r="D12" s="96">
        <v>3847.56</v>
      </c>
      <c r="E12" s="96">
        <v>6634.13</v>
      </c>
      <c r="F12" s="34">
        <f t="shared" si="0"/>
        <v>-0.42003548317563871</v>
      </c>
      <c r="G12" s="93">
        <v>698</v>
      </c>
      <c r="H12" s="92">
        <v>17</v>
      </c>
      <c r="I12" s="92">
        <f t="shared" si="1"/>
        <v>41.058823529411768</v>
      </c>
      <c r="J12" s="92">
        <v>5</v>
      </c>
      <c r="K12" s="92">
        <v>14</v>
      </c>
      <c r="L12" s="96">
        <v>492752.12</v>
      </c>
      <c r="M12" s="93">
        <v>97306</v>
      </c>
      <c r="N12" s="37">
        <v>45093</v>
      </c>
      <c r="O12" s="59" t="s">
        <v>49</v>
      </c>
      <c r="P12" s="67"/>
    </row>
    <row r="13" spans="1:18" s="43" customFormat="1" ht="24.6" customHeight="1" x14ac:dyDescent="0.2">
      <c r="A13" s="31">
        <v>11</v>
      </c>
      <c r="B13" s="36" t="s">
        <v>15</v>
      </c>
      <c r="C13" s="32" t="s">
        <v>260</v>
      </c>
      <c r="D13" s="96">
        <v>3457</v>
      </c>
      <c r="E13" s="96" t="s">
        <v>17</v>
      </c>
      <c r="F13" s="34" t="s">
        <v>17</v>
      </c>
      <c r="G13" s="93">
        <v>531</v>
      </c>
      <c r="H13" s="92" t="s">
        <v>17</v>
      </c>
      <c r="I13" s="92" t="s">
        <v>17</v>
      </c>
      <c r="J13" s="92">
        <v>9</v>
      </c>
      <c r="K13" s="92">
        <v>1</v>
      </c>
      <c r="L13" s="96">
        <v>3457</v>
      </c>
      <c r="M13" s="93">
        <v>531</v>
      </c>
      <c r="N13" s="37">
        <v>45184</v>
      </c>
      <c r="O13" s="59" t="s">
        <v>261</v>
      </c>
      <c r="P13" s="87"/>
    </row>
    <row r="14" spans="1:18" s="43" customFormat="1" ht="24.6" customHeight="1" x14ac:dyDescent="0.2">
      <c r="A14" s="31">
        <v>12</v>
      </c>
      <c r="B14" s="31">
        <v>7</v>
      </c>
      <c r="C14" s="32" t="s">
        <v>243</v>
      </c>
      <c r="D14" s="96">
        <v>3426</v>
      </c>
      <c r="E14" s="96">
        <v>7090</v>
      </c>
      <c r="F14" s="34">
        <f>(D14-E14)/E14</f>
        <v>-0.51678420310296191</v>
      </c>
      <c r="G14" s="93">
        <v>645</v>
      </c>
      <c r="H14" s="34" t="s">
        <v>17</v>
      </c>
      <c r="I14" s="34" t="s">
        <v>17</v>
      </c>
      <c r="J14" s="92">
        <v>11</v>
      </c>
      <c r="K14" s="92">
        <v>3</v>
      </c>
      <c r="L14" s="96">
        <v>36730</v>
      </c>
      <c r="M14" s="93">
        <v>7617</v>
      </c>
      <c r="N14" s="37">
        <v>45170</v>
      </c>
      <c r="O14" s="59" t="s">
        <v>28</v>
      </c>
      <c r="P14" s="89"/>
    </row>
    <row r="15" spans="1:18" s="43" customFormat="1" ht="24.6" customHeight="1" x14ac:dyDescent="0.2">
      <c r="A15" s="31">
        <v>13</v>
      </c>
      <c r="B15" s="31">
        <v>12</v>
      </c>
      <c r="C15" s="32" t="s">
        <v>251</v>
      </c>
      <c r="D15" s="96">
        <v>1768</v>
      </c>
      <c r="E15" s="96">
        <v>2978</v>
      </c>
      <c r="F15" s="34">
        <f t="shared" ref="F15:F27" si="2">(D15-E15)/E15</f>
        <v>-0.40631296171927467</v>
      </c>
      <c r="G15" s="93">
        <v>1285</v>
      </c>
      <c r="H15" s="34" t="s">
        <v>17</v>
      </c>
      <c r="I15" s="34" t="s">
        <v>17</v>
      </c>
      <c r="J15" s="92">
        <v>8</v>
      </c>
      <c r="K15" s="92">
        <v>2</v>
      </c>
      <c r="L15" s="96">
        <v>7151</v>
      </c>
      <c r="M15" s="93">
        <v>1285</v>
      </c>
      <c r="N15" s="37">
        <v>45177</v>
      </c>
      <c r="O15" s="59" t="s">
        <v>28</v>
      </c>
      <c r="P15" s="89"/>
    </row>
    <row r="16" spans="1:18" s="43" customFormat="1" ht="24.6" customHeight="1" x14ac:dyDescent="0.2">
      <c r="A16" s="31">
        <v>14</v>
      </c>
      <c r="B16" s="31">
        <v>13</v>
      </c>
      <c r="C16" s="32" t="s">
        <v>227</v>
      </c>
      <c r="D16" s="96">
        <v>1656.44</v>
      </c>
      <c r="E16" s="96">
        <v>1910.4</v>
      </c>
      <c r="F16" s="34">
        <f t="shared" si="2"/>
        <v>-0.1329355108877722</v>
      </c>
      <c r="G16" s="93">
        <v>284</v>
      </c>
      <c r="H16" s="92">
        <v>12</v>
      </c>
      <c r="I16" s="92">
        <f>G16/H16</f>
        <v>23.666666666666668</v>
      </c>
      <c r="J16" s="92">
        <v>7</v>
      </c>
      <c r="K16" s="92">
        <v>5</v>
      </c>
      <c r="L16" s="96">
        <v>37773.85</v>
      </c>
      <c r="M16" s="93">
        <v>6495</v>
      </c>
      <c r="N16" s="37">
        <v>45156</v>
      </c>
      <c r="O16" s="59" t="s">
        <v>219</v>
      </c>
      <c r="P16" s="89"/>
    </row>
    <row r="17" spans="1:16" s="43" customFormat="1" ht="24.6" customHeight="1" x14ac:dyDescent="0.2">
      <c r="A17" s="31">
        <v>15</v>
      </c>
      <c r="B17" s="31">
        <v>10</v>
      </c>
      <c r="C17" s="32" t="s">
        <v>233</v>
      </c>
      <c r="D17" s="96">
        <v>1638</v>
      </c>
      <c r="E17" s="96">
        <v>4447</v>
      </c>
      <c r="F17" s="34">
        <f t="shared" si="2"/>
        <v>-0.63166179446818083</v>
      </c>
      <c r="G17" s="93">
        <v>225</v>
      </c>
      <c r="H17" s="92" t="s">
        <v>17</v>
      </c>
      <c r="I17" s="92" t="s">
        <v>17</v>
      </c>
      <c r="J17" s="92">
        <v>5</v>
      </c>
      <c r="K17" s="92">
        <v>4</v>
      </c>
      <c r="L17" s="96">
        <v>64362</v>
      </c>
      <c r="M17" s="93">
        <v>10062</v>
      </c>
      <c r="N17" s="37">
        <v>45163</v>
      </c>
      <c r="O17" s="59" t="s">
        <v>28</v>
      </c>
      <c r="P17" s="89"/>
    </row>
    <row r="18" spans="1:16" s="43" customFormat="1" ht="24.6" customHeight="1" x14ac:dyDescent="0.2">
      <c r="A18" s="31">
        <v>16</v>
      </c>
      <c r="B18" s="31">
        <v>11</v>
      </c>
      <c r="C18" s="32" t="s">
        <v>244</v>
      </c>
      <c r="D18" s="96">
        <v>1251</v>
      </c>
      <c r="E18" s="96">
        <v>3378</v>
      </c>
      <c r="F18" s="34">
        <f t="shared" si="2"/>
        <v>-0.62966252220248664</v>
      </c>
      <c r="G18" s="93">
        <v>168</v>
      </c>
      <c r="H18" s="92" t="s">
        <v>17</v>
      </c>
      <c r="I18" s="92" t="s">
        <v>17</v>
      </c>
      <c r="J18" s="92">
        <v>1</v>
      </c>
      <c r="K18" s="92">
        <v>3</v>
      </c>
      <c r="L18" s="96">
        <v>21544</v>
      </c>
      <c r="M18" s="93">
        <v>3233</v>
      </c>
      <c r="N18" s="37">
        <v>45170</v>
      </c>
      <c r="O18" s="59" t="s">
        <v>28</v>
      </c>
      <c r="P18" s="89"/>
    </row>
    <row r="19" spans="1:16" s="43" customFormat="1" ht="24.6" customHeight="1" x14ac:dyDescent="0.2">
      <c r="A19" s="31">
        <v>17</v>
      </c>
      <c r="B19" s="31">
        <v>18</v>
      </c>
      <c r="C19" s="32" t="s">
        <v>232</v>
      </c>
      <c r="D19" s="96">
        <v>551.20000000000005</v>
      </c>
      <c r="E19" s="96">
        <v>686.9</v>
      </c>
      <c r="F19" s="34">
        <f t="shared" si="2"/>
        <v>-0.19755422914543591</v>
      </c>
      <c r="G19" s="93">
        <v>91</v>
      </c>
      <c r="H19" s="92">
        <v>6</v>
      </c>
      <c r="I19" s="92">
        <f t="shared" ref="I19:I27" si="3">G19/H19</f>
        <v>15.166666666666666</v>
      </c>
      <c r="J19" s="92">
        <v>3</v>
      </c>
      <c r="K19" s="92">
        <v>5</v>
      </c>
      <c r="L19" s="96">
        <v>6273.2</v>
      </c>
      <c r="M19" s="93">
        <v>981</v>
      </c>
      <c r="N19" s="37">
        <v>45156</v>
      </c>
      <c r="O19" s="59" t="s">
        <v>30</v>
      </c>
      <c r="P19" s="89"/>
    </row>
    <row r="20" spans="1:16" s="43" customFormat="1" ht="24.6" customHeight="1" x14ac:dyDescent="0.2">
      <c r="A20" s="31">
        <v>18</v>
      </c>
      <c r="B20" s="31">
        <v>15</v>
      </c>
      <c r="C20" s="32" t="s">
        <v>210</v>
      </c>
      <c r="D20" s="97">
        <v>354.78</v>
      </c>
      <c r="E20" s="97">
        <v>1430.24</v>
      </c>
      <c r="F20" s="34">
        <f t="shared" si="2"/>
        <v>-0.75194372972368273</v>
      </c>
      <c r="G20" s="94">
        <v>58</v>
      </c>
      <c r="H20" s="92">
        <v>3</v>
      </c>
      <c r="I20" s="92">
        <f t="shared" si="3"/>
        <v>19.333333333333332</v>
      </c>
      <c r="J20" s="92">
        <v>1</v>
      </c>
      <c r="K20" s="92">
        <v>7</v>
      </c>
      <c r="L20" s="97">
        <v>76883.77</v>
      </c>
      <c r="M20" s="94">
        <v>15191</v>
      </c>
      <c r="N20" s="37">
        <v>45142</v>
      </c>
      <c r="O20" s="59" t="s">
        <v>159</v>
      </c>
      <c r="P20" s="89"/>
    </row>
    <row r="21" spans="1:16" s="43" customFormat="1" ht="24.6" customHeight="1" x14ac:dyDescent="0.2">
      <c r="A21" s="31">
        <v>19</v>
      </c>
      <c r="B21" s="31">
        <v>21</v>
      </c>
      <c r="C21" s="32" t="s">
        <v>186</v>
      </c>
      <c r="D21" s="96">
        <v>315</v>
      </c>
      <c r="E21" s="96">
        <v>488.06</v>
      </c>
      <c r="F21" s="34">
        <f t="shared" si="2"/>
        <v>-0.35458755071097814</v>
      </c>
      <c r="G21" s="93">
        <v>39</v>
      </c>
      <c r="H21" s="92">
        <v>2</v>
      </c>
      <c r="I21" s="92">
        <f t="shared" si="3"/>
        <v>19.5</v>
      </c>
      <c r="J21" s="92">
        <v>1</v>
      </c>
      <c r="K21" s="92">
        <v>10</v>
      </c>
      <c r="L21" s="96">
        <v>195976.33</v>
      </c>
      <c r="M21" s="93">
        <v>28623</v>
      </c>
      <c r="N21" s="37">
        <v>45121</v>
      </c>
      <c r="O21" s="59" t="s">
        <v>159</v>
      </c>
      <c r="P21" s="89"/>
    </row>
    <row r="22" spans="1:16" s="43" customFormat="1" ht="24.6" customHeight="1" x14ac:dyDescent="0.2">
      <c r="A22" s="31">
        <v>20</v>
      </c>
      <c r="B22" s="31">
        <v>22</v>
      </c>
      <c r="C22" s="32" t="s">
        <v>201</v>
      </c>
      <c r="D22" s="96">
        <v>293.40000000000009</v>
      </c>
      <c r="E22" s="96">
        <v>350.59999999999991</v>
      </c>
      <c r="F22" s="34">
        <f t="shared" si="2"/>
        <v>-0.16314888762122029</v>
      </c>
      <c r="G22" s="93">
        <v>50</v>
      </c>
      <c r="H22" s="92">
        <v>4</v>
      </c>
      <c r="I22" s="92">
        <f t="shared" si="3"/>
        <v>12.5</v>
      </c>
      <c r="J22" s="92">
        <v>4</v>
      </c>
      <c r="K22" s="34" t="s">
        <v>17</v>
      </c>
      <c r="L22" s="96">
        <v>7035.4100000000008</v>
      </c>
      <c r="M22" s="93">
        <v>1214</v>
      </c>
      <c r="N22" s="37">
        <v>45135</v>
      </c>
      <c r="O22" s="59" t="s">
        <v>89</v>
      </c>
      <c r="P22" s="89"/>
    </row>
    <row r="23" spans="1:16" s="43" customFormat="1" ht="24.6" customHeight="1" x14ac:dyDescent="0.2">
      <c r="A23" s="31">
        <v>21</v>
      </c>
      <c r="B23" s="31">
        <v>26</v>
      </c>
      <c r="C23" s="32" t="s">
        <v>185</v>
      </c>
      <c r="D23" s="96">
        <v>189.39999999999986</v>
      </c>
      <c r="E23" s="96">
        <v>150.09999999999991</v>
      </c>
      <c r="F23" s="34">
        <f t="shared" si="2"/>
        <v>0.26182544970019972</v>
      </c>
      <c r="G23" s="93">
        <v>33</v>
      </c>
      <c r="H23" s="92">
        <v>3</v>
      </c>
      <c r="I23" s="92">
        <f t="shared" si="3"/>
        <v>11</v>
      </c>
      <c r="J23" s="92">
        <v>3</v>
      </c>
      <c r="K23" s="34" t="s">
        <v>17</v>
      </c>
      <c r="L23" s="96">
        <v>8085.7699999999995</v>
      </c>
      <c r="M23" s="93">
        <v>1357</v>
      </c>
      <c r="N23" s="37">
        <v>45121</v>
      </c>
      <c r="O23" s="59" t="s">
        <v>89</v>
      </c>
      <c r="P23" s="89"/>
    </row>
    <row r="24" spans="1:16" s="43" customFormat="1" ht="24.6" customHeight="1" x14ac:dyDescent="0.2">
      <c r="A24" s="31">
        <v>22</v>
      </c>
      <c r="B24" s="31">
        <v>29</v>
      </c>
      <c r="C24" s="41" t="s">
        <v>145</v>
      </c>
      <c r="D24" s="33">
        <v>151.6</v>
      </c>
      <c r="E24" s="33">
        <v>60.7</v>
      </c>
      <c r="F24" s="34">
        <f t="shared" si="2"/>
        <v>1.4975288303130145</v>
      </c>
      <c r="G24" s="35">
        <v>21</v>
      </c>
      <c r="H24" s="36">
        <v>1</v>
      </c>
      <c r="I24" s="92">
        <f t="shared" si="3"/>
        <v>21</v>
      </c>
      <c r="J24" s="35">
        <v>1</v>
      </c>
      <c r="K24" s="34" t="s">
        <v>17</v>
      </c>
      <c r="L24" s="33">
        <v>57922.98</v>
      </c>
      <c r="M24" s="35">
        <v>9357</v>
      </c>
      <c r="N24" s="37">
        <v>45086</v>
      </c>
      <c r="O24" s="59" t="s">
        <v>160</v>
      </c>
      <c r="P24" s="89"/>
    </row>
    <row r="25" spans="1:16" s="43" customFormat="1" ht="24.6" customHeight="1" x14ac:dyDescent="0.2">
      <c r="A25" s="31">
        <v>23</v>
      </c>
      <c r="B25" s="31">
        <v>28</v>
      </c>
      <c r="C25" s="32" t="s">
        <v>223</v>
      </c>
      <c r="D25" s="96">
        <v>124.7</v>
      </c>
      <c r="E25" s="96">
        <v>66.400000000000006</v>
      </c>
      <c r="F25" s="34">
        <f t="shared" si="2"/>
        <v>0.87801204819277101</v>
      </c>
      <c r="G25" s="93">
        <v>24</v>
      </c>
      <c r="H25" s="92">
        <v>3</v>
      </c>
      <c r="I25" s="92">
        <f t="shared" si="3"/>
        <v>8</v>
      </c>
      <c r="J25" s="92">
        <v>3</v>
      </c>
      <c r="K25" s="92">
        <v>5</v>
      </c>
      <c r="L25" s="96">
        <v>2069.5</v>
      </c>
      <c r="M25" s="93">
        <v>384</v>
      </c>
      <c r="N25" s="37">
        <v>45156</v>
      </c>
      <c r="O25" s="59" t="s">
        <v>73</v>
      </c>
      <c r="P25" s="89"/>
    </row>
    <row r="26" spans="1:16" s="43" customFormat="1" ht="24.6" customHeight="1" x14ac:dyDescent="0.2">
      <c r="A26" s="31">
        <v>24</v>
      </c>
      <c r="B26" s="31">
        <v>23</v>
      </c>
      <c r="C26" s="32" t="s">
        <v>234</v>
      </c>
      <c r="D26" s="96">
        <v>122.1</v>
      </c>
      <c r="E26" s="96">
        <v>275.39999999999998</v>
      </c>
      <c r="F26" s="34">
        <f t="shared" si="2"/>
        <v>-0.55664488017429192</v>
      </c>
      <c r="G26" s="93">
        <v>15</v>
      </c>
      <c r="H26" s="92">
        <v>3</v>
      </c>
      <c r="I26" s="92">
        <f t="shared" si="3"/>
        <v>5</v>
      </c>
      <c r="J26" s="92">
        <v>3</v>
      </c>
      <c r="K26" s="92">
        <v>4</v>
      </c>
      <c r="L26" s="96">
        <v>2037.17</v>
      </c>
      <c r="M26" s="93">
        <v>381</v>
      </c>
      <c r="N26" s="37">
        <v>45163</v>
      </c>
      <c r="O26" s="59" t="s">
        <v>235</v>
      </c>
      <c r="P26" s="89"/>
    </row>
    <row r="27" spans="1:16" s="43" customFormat="1" ht="24.6" customHeight="1" x14ac:dyDescent="0.2">
      <c r="A27" s="31">
        <v>25</v>
      </c>
      <c r="B27" s="31">
        <v>27</v>
      </c>
      <c r="C27" s="32" t="s">
        <v>42</v>
      </c>
      <c r="D27" s="96">
        <v>108.9</v>
      </c>
      <c r="E27" s="96">
        <v>106.8</v>
      </c>
      <c r="F27" s="34">
        <f t="shared" si="2"/>
        <v>1.9662921348314686E-2</v>
      </c>
      <c r="G27" s="93">
        <v>16</v>
      </c>
      <c r="H27" s="92">
        <v>2</v>
      </c>
      <c r="I27" s="92">
        <f t="shared" si="3"/>
        <v>8</v>
      </c>
      <c r="J27" s="92">
        <v>1</v>
      </c>
      <c r="K27" s="92">
        <v>28</v>
      </c>
      <c r="L27" s="96">
        <v>243286.23000000007</v>
      </c>
      <c r="M27" s="93">
        <v>38105</v>
      </c>
      <c r="N27" s="37">
        <v>44988</v>
      </c>
      <c r="O27" s="59" t="s">
        <v>43</v>
      </c>
      <c r="P27" s="89"/>
    </row>
    <row r="28" spans="1:16" s="43" customFormat="1" ht="24.6" customHeight="1" x14ac:dyDescent="0.2">
      <c r="A28" s="31">
        <v>26</v>
      </c>
      <c r="B28" s="96" t="s">
        <v>17</v>
      </c>
      <c r="C28" s="32" t="s">
        <v>115</v>
      </c>
      <c r="D28" s="96">
        <v>104</v>
      </c>
      <c r="E28" s="96" t="s">
        <v>17</v>
      </c>
      <c r="F28" s="34" t="s">
        <v>17</v>
      </c>
      <c r="G28" s="93">
        <v>19</v>
      </c>
      <c r="H28" s="92">
        <v>1</v>
      </c>
      <c r="I28" s="92">
        <v>91</v>
      </c>
      <c r="J28" s="92">
        <v>1</v>
      </c>
      <c r="K28" s="34" t="s">
        <v>17</v>
      </c>
      <c r="L28" s="98">
        <v>9617.6</v>
      </c>
      <c r="M28" s="99">
        <v>1678</v>
      </c>
      <c r="N28" s="37">
        <v>45065</v>
      </c>
      <c r="O28" s="59" t="s">
        <v>49</v>
      </c>
      <c r="P28" s="87"/>
    </row>
    <row r="29" spans="1:16" s="43" customFormat="1" ht="24.6" customHeight="1" x14ac:dyDescent="0.2">
      <c r="A29" s="31">
        <v>27</v>
      </c>
      <c r="B29" s="31">
        <v>32</v>
      </c>
      <c r="C29" s="32" t="s">
        <v>226</v>
      </c>
      <c r="D29" s="33">
        <v>93</v>
      </c>
      <c r="E29" s="33">
        <v>29</v>
      </c>
      <c r="F29" s="34">
        <f>(D29-E29)/E29</f>
        <v>2.2068965517241379</v>
      </c>
      <c r="G29" s="35">
        <v>26</v>
      </c>
      <c r="H29" s="36">
        <v>2</v>
      </c>
      <c r="I29" s="92">
        <f>G29/H29</f>
        <v>13</v>
      </c>
      <c r="J29" s="36">
        <v>2</v>
      </c>
      <c r="K29" s="36">
        <v>5</v>
      </c>
      <c r="L29" s="33">
        <v>16224.83</v>
      </c>
      <c r="M29" s="93">
        <v>3539</v>
      </c>
      <c r="N29" s="37">
        <v>45156</v>
      </c>
      <c r="O29" s="67" t="s">
        <v>25</v>
      </c>
      <c r="P29" s="89"/>
    </row>
    <row r="30" spans="1:16" s="43" customFormat="1" ht="24.6" customHeight="1" x14ac:dyDescent="0.2">
      <c r="A30" s="31">
        <v>28</v>
      </c>
      <c r="B30" s="31">
        <v>30</v>
      </c>
      <c r="C30" s="32" t="s">
        <v>130</v>
      </c>
      <c r="D30" s="96">
        <v>81.400000000000006</v>
      </c>
      <c r="E30" s="96">
        <v>60.2</v>
      </c>
      <c r="F30" s="34">
        <f>(D30-E30)/E30</f>
        <v>0.35215946843853824</v>
      </c>
      <c r="G30" s="93">
        <v>11</v>
      </c>
      <c r="H30" s="92">
        <v>2</v>
      </c>
      <c r="I30" s="92">
        <f>G30/H30</f>
        <v>5.5</v>
      </c>
      <c r="J30" s="92">
        <v>2</v>
      </c>
      <c r="K30" s="34" t="s">
        <v>17</v>
      </c>
      <c r="L30" s="96">
        <v>10224.600000000002</v>
      </c>
      <c r="M30" s="93">
        <v>1562</v>
      </c>
      <c r="N30" s="37">
        <v>45079</v>
      </c>
      <c r="O30" s="59" t="s">
        <v>33</v>
      </c>
      <c r="P30" s="89"/>
    </row>
    <row r="31" spans="1:16" s="43" customFormat="1" ht="24.6" customHeight="1" x14ac:dyDescent="0.2">
      <c r="A31" s="31">
        <v>29</v>
      </c>
      <c r="B31" s="31">
        <v>17</v>
      </c>
      <c r="C31" s="32" t="s">
        <v>184</v>
      </c>
      <c r="D31" s="96">
        <v>60</v>
      </c>
      <c r="E31" s="96">
        <v>928.71</v>
      </c>
      <c r="F31" s="34">
        <f>(D31-E31)/E31</f>
        <v>-0.93539425654940722</v>
      </c>
      <c r="G31" s="93">
        <v>15</v>
      </c>
      <c r="H31" s="92">
        <v>1</v>
      </c>
      <c r="I31" s="92">
        <f>G31/H31</f>
        <v>15</v>
      </c>
      <c r="J31" s="92">
        <v>1</v>
      </c>
      <c r="K31" s="92">
        <v>10</v>
      </c>
      <c r="L31" s="96">
        <v>205588.61</v>
      </c>
      <c r="M31" s="93">
        <v>41768</v>
      </c>
      <c r="N31" s="37">
        <v>45121</v>
      </c>
      <c r="O31" s="59" t="s">
        <v>25</v>
      </c>
      <c r="P31" s="89"/>
    </row>
    <row r="32" spans="1:16" s="43" customFormat="1" ht="24.6" customHeight="1" x14ac:dyDescent="0.2">
      <c r="A32" s="31">
        <v>30</v>
      </c>
      <c r="B32" s="31">
        <v>31</v>
      </c>
      <c r="C32" s="32" t="s">
        <v>218</v>
      </c>
      <c r="D32" s="96">
        <v>44</v>
      </c>
      <c r="E32" s="96">
        <v>40</v>
      </c>
      <c r="F32" s="34">
        <f>(D32-E32)/E32</f>
        <v>0.1</v>
      </c>
      <c r="G32" s="93">
        <v>11</v>
      </c>
      <c r="H32" s="92">
        <v>2</v>
      </c>
      <c r="I32" s="92">
        <f>G32/H32</f>
        <v>5.5</v>
      </c>
      <c r="J32" s="92">
        <v>2</v>
      </c>
      <c r="K32" s="92">
        <v>6</v>
      </c>
      <c r="L32" s="96">
        <v>13228.6</v>
      </c>
      <c r="M32" s="93">
        <v>2789</v>
      </c>
      <c r="N32" s="37">
        <v>45149</v>
      </c>
      <c r="O32" s="59" t="s">
        <v>219</v>
      </c>
      <c r="P32" s="89"/>
    </row>
    <row r="33" spans="1:16383" s="43" customFormat="1" ht="24.6" customHeight="1" x14ac:dyDescent="0.2">
      <c r="A33" s="31">
        <v>31</v>
      </c>
      <c r="B33" s="31">
        <v>16</v>
      </c>
      <c r="C33" s="32" t="s">
        <v>247</v>
      </c>
      <c r="D33" s="96">
        <v>6</v>
      </c>
      <c r="E33" s="96">
        <v>1361.17</v>
      </c>
      <c r="F33" s="34">
        <f>(D33-E33)/E33</f>
        <v>-0.99559202744697572</v>
      </c>
      <c r="G33" s="93">
        <v>2</v>
      </c>
      <c r="H33" s="92">
        <v>1</v>
      </c>
      <c r="I33" s="92">
        <f>G33/H33</f>
        <v>2</v>
      </c>
      <c r="J33" s="92">
        <v>1</v>
      </c>
      <c r="K33" s="92">
        <v>3</v>
      </c>
      <c r="L33" s="96">
        <v>10457.25</v>
      </c>
      <c r="M33" s="93">
        <v>1733</v>
      </c>
      <c r="N33" s="37">
        <v>45170</v>
      </c>
      <c r="O33" s="59" t="s">
        <v>143</v>
      </c>
      <c r="P33" s="89"/>
    </row>
    <row r="34" spans="1:16383" s="51" customFormat="1" ht="24" customHeight="1" x14ac:dyDescent="0.2">
      <c r="B34" s="84"/>
      <c r="C34" s="77" t="s">
        <v>147</v>
      </c>
      <c r="D34" s="52">
        <f>SUBTOTAL(109,Table1324567891011121314151716181920212223[Pajamos 
(GBO)])</f>
        <v>179899.24</v>
      </c>
      <c r="E34" s="52" t="s">
        <v>257</v>
      </c>
      <c r="F34" s="81">
        <f t="shared" ref="F34" si="4">(D34-E34)/E34</f>
        <v>0.26386100982851035</v>
      </c>
      <c r="G34" s="78">
        <f>SUBTOTAL(109,Table1324567891011121314151716181920212223[Žiūrovų sk. 
(ADM)])</f>
        <v>28117</v>
      </c>
      <c r="H34" s="70"/>
      <c r="I34" s="70"/>
      <c r="J34" s="70"/>
      <c r="K34" s="70"/>
      <c r="L34" s="52"/>
      <c r="M34" s="78"/>
      <c r="N34" s="53"/>
      <c r="O34" s="79" t="s">
        <v>56</v>
      </c>
      <c r="P34" s="85"/>
    </row>
    <row r="35" spans="1:16383" ht="11.25" hidden="1" x14ac:dyDescent="0.15">
      <c r="F35" s="4"/>
      <c r="L35" s="3"/>
    </row>
    <row r="36" spans="1:16383" ht="11.25" hidden="1" x14ac:dyDescent="0.15">
      <c r="F36" s="4"/>
      <c r="L36" s="3"/>
    </row>
    <row r="37" spans="1:16383" ht="11.25" hidden="1" x14ac:dyDescent="0.15">
      <c r="F37" s="4"/>
      <c r="L37" s="3"/>
    </row>
    <row r="38" spans="1:16383" ht="11.25" hidden="1" x14ac:dyDescent="0.15">
      <c r="F38" s="4"/>
      <c r="L38" s="3"/>
    </row>
    <row r="39" spans="1:16383" ht="11.25" hidden="1" x14ac:dyDescent="0.15">
      <c r="F39" s="4"/>
      <c r="L39" s="3"/>
    </row>
    <row r="40" spans="1:16383" ht="11.25" hidden="1" x14ac:dyDescent="0.15">
      <c r="F40" s="4"/>
      <c r="L40" s="3"/>
    </row>
    <row r="41" spans="1:16383" ht="11.25" hidden="1" x14ac:dyDescent="0.15">
      <c r="F41" s="4"/>
      <c r="L41" s="3"/>
    </row>
    <row r="42" spans="1:16383" ht="11.25" hidden="1" x14ac:dyDescent="0.15">
      <c r="F42" s="4"/>
      <c r="L42" s="3"/>
    </row>
    <row r="43" spans="1:16383" ht="11.25" hidden="1" x14ac:dyDescent="0.15">
      <c r="F43" s="4"/>
      <c r="L43" s="3"/>
    </row>
    <row r="44" spans="1:16383" ht="11.25" hidden="1" x14ac:dyDescent="0.15">
      <c r="F44" s="4"/>
      <c r="L44" s="3"/>
    </row>
    <row r="45" spans="1:16383" ht="11.25" hidden="1" x14ac:dyDescent="0.15">
      <c r="F45" s="4"/>
      <c r="L45" s="3"/>
    </row>
    <row r="46" spans="1:16383" ht="11.25" hidden="1" x14ac:dyDescent="0.15">
      <c r="F46" s="4"/>
      <c r="L46" s="3"/>
    </row>
    <row r="47" spans="1:16383" ht="11.25" hidden="1" x14ac:dyDescent="0.15">
      <c r="F47" s="4"/>
    </row>
    <row r="48" spans="1:16383" s="44" customFormat="1" ht="11.25" hidden="1" x14ac:dyDescent="0.15">
      <c r="A48" s="1"/>
      <c r="B48" s="66"/>
      <c r="C48" s="1"/>
      <c r="D48" s="5"/>
      <c r="E48" s="5"/>
      <c r="F48" s="4"/>
      <c r="K48" s="66"/>
      <c r="L48" s="5"/>
      <c r="N48" s="12"/>
      <c r="O48" s="6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44" customFormat="1" ht="11.25" hidden="1" x14ac:dyDescent="0.15">
      <c r="A49" s="1"/>
      <c r="B49" s="66"/>
      <c r="C49" s="1"/>
      <c r="D49" s="5"/>
      <c r="E49" s="5"/>
      <c r="F49" s="4"/>
      <c r="K49" s="66"/>
      <c r="L49" s="5"/>
      <c r="N49" s="12"/>
      <c r="O49" s="6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44" customFormat="1" ht="11.25" hidden="1" x14ac:dyDescent="0.15">
      <c r="A50" s="1"/>
      <c r="B50" s="66"/>
      <c r="C50" s="1"/>
      <c r="D50" s="5"/>
      <c r="E50" s="5"/>
      <c r="F50" s="4"/>
      <c r="K50" s="66"/>
      <c r="L50" s="5"/>
      <c r="N50" s="12"/>
      <c r="O50" s="6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ht="11.25" hidden="1" x14ac:dyDescent="0.15">
      <c r="D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6383" ht="11.25" hidden="1" x14ac:dyDescent="0.15">
      <c r="D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6383" ht="11.25" hidden="1" x14ac:dyDescent="0.15">
      <c r="D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6383" ht="11.25" hidden="1" x14ac:dyDescent="0.15"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6383" ht="11.25" hidden="1" x14ac:dyDescent="0.15"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6383" ht="11.25" hidden="1" x14ac:dyDescent="0.15"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6383" ht="11.25" hidden="1" x14ac:dyDescent="0.15"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6383" ht="11.25" hidden="1" x14ac:dyDescent="0.15"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6383" ht="11.25" hidden="1" x14ac:dyDescent="0.15"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6383" ht="11.25" hidden="1" x14ac:dyDescent="0.15"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6383" ht="11.25" hidden="1" x14ac:dyDescent="0.15"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4DB33-57B2-41C3-816F-29CB91F03EFD}">
  <dimension ref="A1:XFC64"/>
  <sheetViews>
    <sheetView zoomScale="60" zoomScaleNormal="60" workbookViewId="0">
      <selection activeCell="O26" sqref="O26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1.4257812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249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6" t="s">
        <v>15</v>
      </c>
      <c r="C3" s="14" t="s">
        <v>252</v>
      </c>
      <c r="D3" s="15">
        <v>50635.839999999997</v>
      </c>
      <c r="E3" s="34" t="s">
        <v>17</v>
      </c>
      <c r="F3" s="34" t="s">
        <v>17</v>
      </c>
      <c r="G3" s="17">
        <v>6334</v>
      </c>
      <c r="H3" s="18">
        <v>110</v>
      </c>
      <c r="I3" s="92">
        <f t="shared" ref="I3:I8" si="0">G3/H3</f>
        <v>57.581818181818178</v>
      </c>
      <c r="J3" s="18">
        <v>14</v>
      </c>
      <c r="K3" s="18">
        <v>1</v>
      </c>
      <c r="L3" s="33">
        <v>57441.35</v>
      </c>
      <c r="M3" s="35">
        <v>7192</v>
      </c>
      <c r="N3" s="19">
        <v>45177</v>
      </c>
      <c r="O3" s="60" t="s">
        <v>21</v>
      </c>
      <c r="P3" s="87"/>
    </row>
    <row r="4" spans="1:18" s="39" customFormat="1" ht="24.6" customHeight="1" x14ac:dyDescent="0.2">
      <c r="A4" s="31">
        <v>2</v>
      </c>
      <c r="B4" s="36">
        <v>5</v>
      </c>
      <c r="C4" s="32" t="s">
        <v>193</v>
      </c>
      <c r="D4" s="96">
        <v>11464.12</v>
      </c>
      <c r="E4" s="96">
        <v>17635.09</v>
      </c>
      <c r="F4" s="34">
        <f t="shared" ref="F4:F10" si="1">(D4-E4)/E4</f>
        <v>-0.34992563122728604</v>
      </c>
      <c r="G4" s="93">
        <v>1601</v>
      </c>
      <c r="H4" s="92">
        <v>62</v>
      </c>
      <c r="I4" s="92">
        <f t="shared" si="0"/>
        <v>25.822580645161292</v>
      </c>
      <c r="J4" s="92">
        <v>11</v>
      </c>
      <c r="K4" s="92">
        <v>8</v>
      </c>
      <c r="L4" s="96">
        <v>1007335.79</v>
      </c>
      <c r="M4" s="93">
        <v>140966</v>
      </c>
      <c r="N4" s="37">
        <v>45128</v>
      </c>
      <c r="O4" s="59" t="s">
        <v>160</v>
      </c>
      <c r="P4" s="89"/>
    </row>
    <row r="5" spans="1:18" s="39" customFormat="1" ht="24.6" customHeight="1" x14ac:dyDescent="0.2">
      <c r="A5" s="31">
        <v>3</v>
      </c>
      <c r="B5" s="36">
        <v>1</v>
      </c>
      <c r="C5" s="32" t="s">
        <v>236</v>
      </c>
      <c r="D5" s="96">
        <v>11290.13</v>
      </c>
      <c r="E5" s="96">
        <v>32239.85</v>
      </c>
      <c r="F5" s="34">
        <f t="shared" si="1"/>
        <v>-0.64980823421945211</v>
      </c>
      <c r="G5" s="93">
        <v>2052</v>
      </c>
      <c r="H5" s="92">
        <v>101</v>
      </c>
      <c r="I5" s="92">
        <f t="shared" si="0"/>
        <v>20.316831683168317</v>
      </c>
      <c r="J5" s="92">
        <v>18</v>
      </c>
      <c r="K5" s="92">
        <v>3</v>
      </c>
      <c r="L5" s="96">
        <v>83713.33</v>
      </c>
      <c r="M5" s="93">
        <v>17137</v>
      </c>
      <c r="N5" s="37">
        <v>45163</v>
      </c>
      <c r="O5" s="59" t="s">
        <v>33</v>
      </c>
      <c r="P5" s="89"/>
      <c r="R5" s="31"/>
    </row>
    <row r="6" spans="1:18" s="39" customFormat="1" ht="24.95" customHeight="1" x14ac:dyDescent="0.2">
      <c r="A6" s="31">
        <v>4</v>
      </c>
      <c r="B6" s="36">
        <v>2</v>
      </c>
      <c r="C6" s="32" t="s">
        <v>246</v>
      </c>
      <c r="D6" s="96">
        <v>10032.290000000001</v>
      </c>
      <c r="E6" s="96">
        <v>22366</v>
      </c>
      <c r="F6" s="34">
        <f t="shared" si="1"/>
        <v>-0.55144907448806224</v>
      </c>
      <c r="G6" s="93">
        <v>1350</v>
      </c>
      <c r="H6" s="92">
        <v>62</v>
      </c>
      <c r="I6" s="92">
        <f t="shared" si="0"/>
        <v>21.774193548387096</v>
      </c>
      <c r="J6" s="92">
        <v>12</v>
      </c>
      <c r="K6" s="92">
        <v>2</v>
      </c>
      <c r="L6" s="96">
        <v>44682.49</v>
      </c>
      <c r="M6" s="93">
        <v>6089</v>
      </c>
      <c r="N6" s="37">
        <v>45170</v>
      </c>
      <c r="O6" s="59" t="s">
        <v>23</v>
      </c>
      <c r="P6" s="89"/>
      <c r="R6" s="31"/>
    </row>
    <row r="7" spans="1:18" s="39" customFormat="1" ht="24.6" customHeight="1" x14ac:dyDescent="0.2">
      <c r="A7" s="31">
        <v>5</v>
      </c>
      <c r="B7" s="36">
        <v>4</v>
      </c>
      <c r="C7" s="32" t="s">
        <v>189</v>
      </c>
      <c r="D7" s="96">
        <v>9326.57</v>
      </c>
      <c r="E7" s="96">
        <v>18451.21</v>
      </c>
      <c r="F7" s="34">
        <f t="shared" si="1"/>
        <v>-0.49452800114464035</v>
      </c>
      <c r="G7" s="93">
        <v>1381</v>
      </c>
      <c r="H7" s="92">
        <v>72</v>
      </c>
      <c r="I7" s="92">
        <f t="shared" si="0"/>
        <v>19.180555555555557</v>
      </c>
      <c r="J7" s="92">
        <v>9</v>
      </c>
      <c r="K7" s="92">
        <v>8</v>
      </c>
      <c r="L7" s="96">
        <v>1131307.27</v>
      </c>
      <c r="M7" s="93">
        <v>171910</v>
      </c>
      <c r="N7" s="37">
        <v>45128</v>
      </c>
      <c r="O7" s="59" t="s">
        <v>21</v>
      </c>
      <c r="P7" s="89"/>
      <c r="R7" s="31"/>
    </row>
    <row r="8" spans="1:18" s="39" customFormat="1" ht="24.95" customHeight="1" x14ac:dyDescent="0.2">
      <c r="A8" s="31">
        <v>6</v>
      </c>
      <c r="B8" s="36">
        <v>7</v>
      </c>
      <c r="C8" s="32" t="s">
        <v>216</v>
      </c>
      <c r="D8" s="96">
        <v>8703.3700000000008</v>
      </c>
      <c r="E8" s="96">
        <v>15498.69</v>
      </c>
      <c r="F8" s="34">
        <f t="shared" si="1"/>
        <v>-0.43844479759257071</v>
      </c>
      <c r="G8" s="93">
        <v>1303</v>
      </c>
      <c r="H8" s="92">
        <v>45</v>
      </c>
      <c r="I8" s="92">
        <f t="shared" si="0"/>
        <v>28.955555555555556</v>
      </c>
      <c r="J8" s="92">
        <v>8</v>
      </c>
      <c r="K8" s="92">
        <v>5</v>
      </c>
      <c r="L8" s="96">
        <v>192466.26</v>
      </c>
      <c r="M8" s="93">
        <v>30364</v>
      </c>
      <c r="N8" s="37">
        <v>45149</v>
      </c>
      <c r="O8" s="59" t="s">
        <v>23</v>
      </c>
      <c r="P8" s="89"/>
      <c r="R8" s="31"/>
    </row>
    <row r="9" spans="1:18" s="39" customFormat="1" ht="24.95" customHeight="1" x14ac:dyDescent="0.2">
      <c r="A9" s="31">
        <v>7</v>
      </c>
      <c r="B9" s="36">
        <v>3</v>
      </c>
      <c r="C9" s="32" t="s">
        <v>243</v>
      </c>
      <c r="D9" s="96">
        <v>7090</v>
      </c>
      <c r="E9" s="96">
        <v>19669</v>
      </c>
      <c r="F9" s="34">
        <f t="shared" si="1"/>
        <v>-0.63953429254156291</v>
      </c>
      <c r="G9" s="93">
        <v>1374</v>
      </c>
      <c r="H9" s="34" t="s">
        <v>17</v>
      </c>
      <c r="I9" s="34" t="s">
        <v>17</v>
      </c>
      <c r="J9" s="92">
        <v>14</v>
      </c>
      <c r="K9" s="92">
        <v>2</v>
      </c>
      <c r="L9" s="96">
        <v>31506</v>
      </c>
      <c r="M9" s="93">
        <v>6539</v>
      </c>
      <c r="N9" s="37">
        <v>45170</v>
      </c>
      <c r="O9" s="59" t="s">
        <v>28</v>
      </c>
      <c r="P9" s="89"/>
      <c r="R9" s="31"/>
    </row>
    <row r="10" spans="1:18" s="39" customFormat="1" ht="24.95" customHeight="1" x14ac:dyDescent="0.2">
      <c r="A10" s="31">
        <v>8</v>
      </c>
      <c r="B10" s="36">
        <v>6</v>
      </c>
      <c r="C10" s="32" t="s">
        <v>154</v>
      </c>
      <c r="D10" s="96">
        <v>6634.13</v>
      </c>
      <c r="E10" s="96">
        <v>15590</v>
      </c>
      <c r="F10" s="34">
        <f t="shared" si="1"/>
        <v>-0.57446247594611921</v>
      </c>
      <c r="G10" s="93">
        <v>1185</v>
      </c>
      <c r="H10" s="92">
        <v>40</v>
      </c>
      <c r="I10" s="92">
        <f>G10/H10</f>
        <v>29.625</v>
      </c>
      <c r="J10" s="92">
        <v>8</v>
      </c>
      <c r="K10" s="92">
        <v>13</v>
      </c>
      <c r="L10" s="96">
        <v>488137.54</v>
      </c>
      <c r="M10" s="93">
        <v>96424</v>
      </c>
      <c r="N10" s="37">
        <v>45093</v>
      </c>
      <c r="O10" s="59" t="s">
        <v>49</v>
      </c>
      <c r="P10" s="67"/>
      <c r="R10" s="31"/>
    </row>
    <row r="11" spans="1:18" s="39" customFormat="1" ht="24.95" customHeight="1" x14ac:dyDescent="0.2">
      <c r="A11" s="31">
        <v>9</v>
      </c>
      <c r="B11" s="36" t="s">
        <v>254</v>
      </c>
      <c r="C11" s="32" t="s">
        <v>255</v>
      </c>
      <c r="D11" s="96">
        <v>5094</v>
      </c>
      <c r="E11" s="34" t="s">
        <v>17</v>
      </c>
      <c r="F11" s="34" t="s">
        <v>17</v>
      </c>
      <c r="G11" s="93">
        <v>878</v>
      </c>
      <c r="H11" s="92">
        <v>10</v>
      </c>
      <c r="I11" s="92">
        <f>G11/H11</f>
        <v>87.8</v>
      </c>
      <c r="J11" s="92">
        <v>10</v>
      </c>
      <c r="K11" s="92">
        <v>0</v>
      </c>
      <c r="L11" s="96">
        <v>5094</v>
      </c>
      <c r="M11" s="93">
        <v>878</v>
      </c>
      <c r="N11" s="37" t="s">
        <v>253</v>
      </c>
      <c r="O11" s="60" t="s">
        <v>25</v>
      </c>
      <c r="P11" s="87"/>
      <c r="R11" s="31"/>
    </row>
    <row r="12" spans="1:18" s="43" customFormat="1" ht="24.6" customHeight="1" x14ac:dyDescent="0.2">
      <c r="A12" s="31">
        <v>10</v>
      </c>
      <c r="B12" s="36">
        <v>8</v>
      </c>
      <c r="C12" s="32" t="s">
        <v>233</v>
      </c>
      <c r="D12" s="96">
        <v>4447</v>
      </c>
      <c r="E12" s="96">
        <v>13007</v>
      </c>
      <c r="F12" s="34">
        <f>(D12-E12)/E12</f>
        <v>-0.65810717306065969</v>
      </c>
      <c r="G12" s="93">
        <v>642</v>
      </c>
      <c r="H12" s="92" t="s">
        <v>17</v>
      </c>
      <c r="I12" s="92" t="s">
        <v>17</v>
      </c>
      <c r="J12" s="92">
        <v>8</v>
      </c>
      <c r="K12" s="92">
        <v>3</v>
      </c>
      <c r="L12" s="96">
        <v>59059</v>
      </c>
      <c r="M12" s="93">
        <v>9249</v>
      </c>
      <c r="N12" s="37">
        <v>45163</v>
      </c>
      <c r="O12" s="59" t="s">
        <v>28</v>
      </c>
      <c r="P12" s="89"/>
    </row>
    <row r="13" spans="1:18" s="43" customFormat="1" ht="24.6" customHeight="1" x14ac:dyDescent="0.2">
      <c r="A13" s="31">
        <v>11</v>
      </c>
      <c r="B13" s="36">
        <v>9</v>
      </c>
      <c r="C13" s="32" t="s">
        <v>244</v>
      </c>
      <c r="D13" s="96">
        <v>3378</v>
      </c>
      <c r="E13" s="96">
        <v>10225</v>
      </c>
      <c r="F13" s="34">
        <f>(D13-E13)/E13</f>
        <v>-0.66963325183374078</v>
      </c>
      <c r="G13" s="93">
        <v>499</v>
      </c>
      <c r="H13" s="92" t="s">
        <v>17</v>
      </c>
      <c r="I13" s="34" t="s">
        <v>17</v>
      </c>
      <c r="J13" s="92">
        <v>7</v>
      </c>
      <c r="K13" s="92">
        <v>2</v>
      </c>
      <c r="L13" s="96">
        <v>17527</v>
      </c>
      <c r="M13" s="93">
        <v>2633</v>
      </c>
      <c r="N13" s="37">
        <v>45170</v>
      </c>
      <c r="O13" s="59" t="s">
        <v>28</v>
      </c>
      <c r="P13" s="89"/>
    </row>
    <row r="14" spans="1:18" ht="24.6" customHeight="1" x14ac:dyDescent="0.2">
      <c r="A14" s="31">
        <v>12</v>
      </c>
      <c r="B14" s="36" t="s">
        <v>15</v>
      </c>
      <c r="C14" s="32" t="s">
        <v>251</v>
      </c>
      <c r="D14" s="96">
        <v>2978</v>
      </c>
      <c r="E14" s="34" t="s">
        <v>17</v>
      </c>
      <c r="F14" s="34" t="s">
        <v>17</v>
      </c>
      <c r="G14" s="93">
        <v>478</v>
      </c>
      <c r="H14" s="34" t="s">
        <v>17</v>
      </c>
      <c r="I14" s="34" t="s">
        <v>17</v>
      </c>
      <c r="J14" s="92">
        <v>18</v>
      </c>
      <c r="K14" s="92">
        <v>1</v>
      </c>
      <c r="L14" s="96">
        <v>2978</v>
      </c>
      <c r="M14" s="93">
        <v>478</v>
      </c>
      <c r="N14" s="37">
        <v>45177</v>
      </c>
      <c r="O14" s="59" t="s">
        <v>28</v>
      </c>
      <c r="P14" s="87"/>
    </row>
    <row r="15" spans="1:18" s="43" customFormat="1" ht="24.6" customHeight="1" x14ac:dyDescent="0.2">
      <c r="A15" s="31">
        <v>13</v>
      </c>
      <c r="B15" s="36">
        <v>10</v>
      </c>
      <c r="C15" s="32" t="s">
        <v>227</v>
      </c>
      <c r="D15" s="96">
        <v>1910.4</v>
      </c>
      <c r="E15" s="96">
        <v>7259.74</v>
      </c>
      <c r="F15" s="34">
        <f t="shared" ref="F15:F25" si="2">(D15-E15)/E15</f>
        <v>-0.7368500800304143</v>
      </c>
      <c r="G15" s="93">
        <v>285</v>
      </c>
      <c r="H15" s="92">
        <v>17</v>
      </c>
      <c r="I15" s="92">
        <f t="shared" ref="I15:I36" si="3">G15/H15</f>
        <v>16.764705882352942</v>
      </c>
      <c r="J15" s="92">
        <v>6</v>
      </c>
      <c r="K15" s="92">
        <v>4</v>
      </c>
      <c r="L15" s="96">
        <v>33978.550000000003</v>
      </c>
      <c r="M15" s="93">
        <v>5745</v>
      </c>
      <c r="N15" s="37">
        <v>45156</v>
      </c>
      <c r="O15" s="59" t="s">
        <v>219</v>
      </c>
      <c r="P15" s="89"/>
    </row>
    <row r="16" spans="1:18" s="43" customFormat="1" ht="24.6" customHeight="1" x14ac:dyDescent="0.2">
      <c r="A16" s="31">
        <v>14</v>
      </c>
      <c r="B16" s="36">
        <v>11</v>
      </c>
      <c r="C16" s="32" t="s">
        <v>209</v>
      </c>
      <c r="D16" s="97">
        <v>1768.16</v>
      </c>
      <c r="E16" s="97">
        <v>6948.83</v>
      </c>
      <c r="F16" s="34">
        <f t="shared" si="2"/>
        <v>-0.74554565300921161</v>
      </c>
      <c r="G16" s="94">
        <v>261</v>
      </c>
      <c r="H16" s="92">
        <v>14</v>
      </c>
      <c r="I16" s="92">
        <f t="shared" si="3"/>
        <v>18.642857142857142</v>
      </c>
      <c r="J16" s="92">
        <v>4</v>
      </c>
      <c r="K16" s="92">
        <v>6</v>
      </c>
      <c r="L16" s="97">
        <v>176357.34</v>
      </c>
      <c r="M16" s="94">
        <v>28354</v>
      </c>
      <c r="N16" s="37">
        <v>45142</v>
      </c>
      <c r="O16" s="59" t="s">
        <v>21</v>
      </c>
      <c r="P16" s="89"/>
    </row>
    <row r="17" spans="1:16" s="43" customFormat="1" ht="24.6" customHeight="1" x14ac:dyDescent="0.2">
      <c r="A17" s="31">
        <v>15</v>
      </c>
      <c r="B17" s="36">
        <v>13</v>
      </c>
      <c r="C17" s="32" t="s">
        <v>210</v>
      </c>
      <c r="D17" s="97">
        <v>1430.24</v>
      </c>
      <c r="E17" s="97">
        <v>5195.41</v>
      </c>
      <c r="F17" s="34">
        <f t="shared" si="2"/>
        <v>-0.72471085053922601</v>
      </c>
      <c r="G17" s="94">
        <v>247</v>
      </c>
      <c r="H17" s="92">
        <v>17</v>
      </c>
      <c r="I17" s="92">
        <f t="shared" si="3"/>
        <v>14.529411764705882</v>
      </c>
      <c r="J17" s="92">
        <v>3</v>
      </c>
      <c r="K17" s="92">
        <v>6</v>
      </c>
      <c r="L17" s="97">
        <v>76366.63</v>
      </c>
      <c r="M17" s="94">
        <v>15097</v>
      </c>
      <c r="N17" s="37">
        <v>45142</v>
      </c>
      <c r="O17" s="59" t="s">
        <v>159</v>
      </c>
      <c r="P17" s="89"/>
    </row>
    <row r="18" spans="1:16" s="43" customFormat="1" ht="24.6" customHeight="1" x14ac:dyDescent="0.2">
      <c r="A18" s="31">
        <v>16</v>
      </c>
      <c r="B18" s="36">
        <v>12</v>
      </c>
      <c r="C18" s="32" t="s">
        <v>247</v>
      </c>
      <c r="D18" s="96">
        <v>1361.17</v>
      </c>
      <c r="E18" s="96">
        <v>6249.6</v>
      </c>
      <c r="F18" s="34">
        <f t="shared" si="2"/>
        <v>-0.78219886072708655</v>
      </c>
      <c r="G18" s="93">
        <v>210</v>
      </c>
      <c r="H18" s="92">
        <v>18</v>
      </c>
      <c r="I18" s="92">
        <f t="shared" si="3"/>
        <v>11.666666666666666</v>
      </c>
      <c r="J18" s="92">
        <v>7</v>
      </c>
      <c r="K18" s="92">
        <v>2</v>
      </c>
      <c r="L18" s="96">
        <v>9843.5499999999993</v>
      </c>
      <c r="M18" s="93">
        <v>1570</v>
      </c>
      <c r="N18" s="37">
        <v>45170</v>
      </c>
      <c r="O18" s="59" t="s">
        <v>143</v>
      </c>
      <c r="P18" s="87"/>
    </row>
    <row r="19" spans="1:16" s="43" customFormat="1" ht="24.6" customHeight="1" x14ac:dyDescent="0.2">
      <c r="A19" s="31">
        <v>17</v>
      </c>
      <c r="B19" s="36">
        <v>14</v>
      </c>
      <c r="C19" s="32" t="s">
        <v>184</v>
      </c>
      <c r="D19" s="96">
        <v>928.71</v>
      </c>
      <c r="E19" s="96">
        <v>3558.27</v>
      </c>
      <c r="F19" s="34">
        <f t="shared" si="2"/>
        <v>-0.73899957001576611</v>
      </c>
      <c r="G19" s="93">
        <v>176</v>
      </c>
      <c r="H19" s="92">
        <v>12</v>
      </c>
      <c r="I19" s="92">
        <f t="shared" si="3"/>
        <v>14.666666666666666</v>
      </c>
      <c r="J19" s="92">
        <v>4</v>
      </c>
      <c r="K19" s="92">
        <v>9</v>
      </c>
      <c r="L19" s="96">
        <v>205402.53</v>
      </c>
      <c r="M19" s="93">
        <v>41723</v>
      </c>
      <c r="N19" s="37">
        <v>45121</v>
      </c>
      <c r="O19" s="59" t="s">
        <v>25</v>
      </c>
      <c r="P19" s="89"/>
    </row>
    <row r="20" spans="1:16" s="43" customFormat="1" ht="24.6" customHeight="1" x14ac:dyDescent="0.2">
      <c r="A20" s="31">
        <v>18</v>
      </c>
      <c r="B20" s="36">
        <v>21</v>
      </c>
      <c r="C20" s="32" t="s">
        <v>232</v>
      </c>
      <c r="D20" s="96">
        <v>686.9</v>
      </c>
      <c r="E20" s="96">
        <v>686.9</v>
      </c>
      <c r="F20" s="34">
        <f t="shared" si="2"/>
        <v>0</v>
      </c>
      <c r="G20" s="93">
        <v>111</v>
      </c>
      <c r="H20" s="92">
        <v>7</v>
      </c>
      <c r="I20" s="92">
        <f t="shared" si="3"/>
        <v>15.857142857142858</v>
      </c>
      <c r="J20" s="92">
        <v>3</v>
      </c>
      <c r="K20" s="92">
        <v>4</v>
      </c>
      <c r="L20" s="96">
        <v>5284.2</v>
      </c>
      <c r="M20" s="93">
        <v>822</v>
      </c>
      <c r="N20" s="37">
        <v>45156</v>
      </c>
      <c r="O20" s="59" t="s">
        <v>30</v>
      </c>
      <c r="P20" s="89"/>
    </row>
    <row r="21" spans="1:16" s="43" customFormat="1" ht="24.6" customHeight="1" x14ac:dyDescent="0.2">
      <c r="A21" s="31">
        <v>19</v>
      </c>
      <c r="B21" s="36">
        <v>16</v>
      </c>
      <c r="C21" s="32" t="s">
        <v>224</v>
      </c>
      <c r="D21" s="33">
        <v>604.45000000000005</v>
      </c>
      <c r="E21" s="33">
        <v>2317.8200000000002</v>
      </c>
      <c r="F21" s="34">
        <f t="shared" si="2"/>
        <v>-0.73921616001242552</v>
      </c>
      <c r="G21" s="35">
        <v>93</v>
      </c>
      <c r="H21" s="36">
        <v>3</v>
      </c>
      <c r="I21" s="92">
        <f t="shared" si="3"/>
        <v>31</v>
      </c>
      <c r="J21" s="36">
        <v>1</v>
      </c>
      <c r="K21" s="36">
        <v>4</v>
      </c>
      <c r="L21" s="33">
        <v>39048.81</v>
      </c>
      <c r="M21" s="93">
        <v>6583</v>
      </c>
      <c r="N21" s="37">
        <v>45156</v>
      </c>
      <c r="O21" s="67" t="s">
        <v>21</v>
      </c>
      <c r="P21" s="89"/>
    </row>
    <row r="22" spans="1:16" s="43" customFormat="1" ht="24.6" customHeight="1" x14ac:dyDescent="0.2">
      <c r="A22" s="31">
        <v>20</v>
      </c>
      <c r="B22" s="36">
        <v>20</v>
      </c>
      <c r="C22" s="32" t="s">
        <v>238</v>
      </c>
      <c r="D22" s="96">
        <v>544.5</v>
      </c>
      <c r="E22" s="96">
        <v>780.65</v>
      </c>
      <c r="F22" s="34">
        <f t="shared" si="2"/>
        <v>-0.30250432332030996</v>
      </c>
      <c r="G22" s="93">
        <v>121</v>
      </c>
      <c r="H22" s="92">
        <v>2</v>
      </c>
      <c r="I22" s="92">
        <f t="shared" si="3"/>
        <v>60.5</v>
      </c>
      <c r="J22" s="92">
        <v>2</v>
      </c>
      <c r="K22" s="92">
        <v>3</v>
      </c>
      <c r="L22" s="96">
        <v>13210.25</v>
      </c>
      <c r="M22" s="93">
        <v>2574</v>
      </c>
      <c r="N22" s="37">
        <v>45163</v>
      </c>
      <c r="O22" s="59" t="s">
        <v>25</v>
      </c>
      <c r="P22" s="89"/>
    </row>
    <row r="23" spans="1:16" s="43" customFormat="1" ht="24.6" customHeight="1" x14ac:dyDescent="0.2">
      <c r="A23" s="31">
        <v>21</v>
      </c>
      <c r="B23" s="36">
        <v>23</v>
      </c>
      <c r="C23" s="32" t="s">
        <v>186</v>
      </c>
      <c r="D23" s="96">
        <v>488.06</v>
      </c>
      <c r="E23" s="96">
        <v>446.84</v>
      </c>
      <c r="F23" s="34">
        <f t="shared" si="2"/>
        <v>9.2247784441858452E-2</v>
      </c>
      <c r="G23" s="93">
        <v>60</v>
      </c>
      <c r="H23" s="92">
        <v>3</v>
      </c>
      <c r="I23" s="92">
        <f t="shared" si="3"/>
        <v>20</v>
      </c>
      <c r="J23" s="92">
        <v>1</v>
      </c>
      <c r="K23" s="92">
        <v>9</v>
      </c>
      <c r="L23" s="96">
        <v>195312.43</v>
      </c>
      <c r="M23" s="93">
        <v>28526</v>
      </c>
      <c r="N23" s="37">
        <v>45121</v>
      </c>
      <c r="O23" s="59" t="s">
        <v>159</v>
      </c>
      <c r="P23" s="89"/>
    </row>
    <row r="24" spans="1:16" s="43" customFormat="1" ht="24.6" customHeight="1" x14ac:dyDescent="0.2">
      <c r="A24" s="31">
        <v>22</v>
      </c>
      <c r="B24" s="36">
        <v>26</v>
      </c>
      <c r="C24" s="32" t="s">
        <v>201</v>
      </c>
      <c r="D24" s="96">
        <v>350.59999999999991</v>
      </c>
      <c r="E24" s="96">
        <v>291.79999999999995</v>
      </c>
      <c r="F24" s="34">
        <f t="shared" si="2"/>
        <v>0.20150788211103482</v>
      </c>
      <c r="G24" s="93">
        <v>59</v>
      </c>
      <c r="H24" s="92">
        <v>3</v>
      </c>
      <c r="I24" s="92">
        <f t="shared" si="3"/>
        <v>19.666666666666668</v>
      </c>
      <c r="J24" s="92">
        <v>3</v>
      </c>
      <c r="K24" s="34" t="s">
        <v>17</v>
      </c>
      <c r="L24" s="96">
        <v>6583.21</v>
      </c>
      <c r="M24" s="93">
        <v>1139</v>
      </c>
      <c r="N24" s="37">
        <v>45135</v>
      </c>
      <c r="O24" s="59" t="s">
        <v>89</v>
      </c>
      <c r="P24" s="89"/>
    </row>
    <row r="25" spans="1:16" s="43" customFormat="1" ht="24.6" customHeight="1" x14ac:dyDescent="0.2">
      <c r="A25" s="31">
        <v>23</v>
      </c>
      <c r="B25" s="36">
        <v>32</v>
      </c>
      <c r="C25" s="32" t="s">
        <v>234</v>
      </c>
      <c r="D25" s="96">
        <v>275.39999999999998</v>
      </c>
      <c r="E25" s="96">
        <v>82.91</v>
      </c>
      <c r="F25" s="34">
        <f t="shared" si="2"/>
        <v>2.3216741044506088</v>
      </c>
      <c r="G25" s="93">
        <v>62</v>
      </c>
      <c r="H25" s="92">
        <v>5</v>
      </c>
      <c r="I25" s="92">
        <f t="shared" si="3"/>
        <v>12.4</v>
      </c>
      <c r="J25" s="92">
        <v>2</v>
      </c>
      <c r="K25" s="92">
        <v>3</v>
      </c>
      <c r="L25" s="96">
        <v>1869.87</v>
      </c>
      <c r="M25" s="93">
        <v>358</v>
      </c>
      <c r="N25" s="37">
        <v>45163</v>
      </c>
      <c r="O25" s="59" t="s">
        <v>235</v>
      </c>
      <c r="P25" s="89"/>
    </row>
    <row r="26" spans="1:16" s="43" customFormat="1" ht="24.6" customHeight="1" x14ac:dyDescent="0.2">
      <c r="A26" s="31">
        <v>24</v>
      </c>
      <c r="B26" s="34" t="s">
        <v>17</v>
      </c>
      <c r="C26" s="32" t="s">
        <v>204</v>
      </c>
      <c r="D26" s="96">
        <v>212.5</v>
      </c>
      <c r="E26" s="34" t="s">
        <v>17</v>
      </c>
      <c r="F26" s="34" t="s">
        <v>17</v>
      </c>
      <c r="G26" s="93">
        <v>89</v>
      </c>
      <c r="H26" s="92">
        <v>1</v>
      </c>
      <c r="I26" s="92">
        <f t="shared" si="3"/>
        <v>89</v>
      </c>
      <c r="J26" s="92">
        <v>1</v>
      </c>
      <c r="K26" s="34" t="s">
        <v>17</v>
      </c>
      <c r="L26" s="96">
        <v>3896.16</v>
      </c>
      <c r="M26" s="93">
        <v>886</v>
      </c>
      <c r="N26" s="37">
        <v>45135</v>
      </c>
      <c r="O26" s="59" t="s">
        <v>53</v>
      </c>
      <c r="P26" s="87"/>
    </row>
    <row r="27" spans="1:16" s="43" customFormat="1" ht="24.6" customHeight="1" x14ac:dyDescent="0.2">
      <c r="A27" s="31">
        <v>25</v>
      </c>
      <c r="B27" s="36">
        <v>31</v>
      </c>
      <c r="C27" s="32" t="s">
        <v>72</v>
      </c>
      <c r="D27" s="96">
        <v>158</v>
      </c>
      <c r="E27" s="96">
        <v>108</v>
      </c>
      <c r="F27" s="34">
        <f>(D27-E27)/E27</f>
        <v>0.46296296296296297</v>
      </c>
      <c r="G27" s="93">
        <v>30</v>
      </c>
      <c r="H27" s="92">
        <v>1</v>
      </c>
      <c r="I27" s="92">
        <f t="shared" si="3"/>
        <v>30</v>
      </c>
      <c r="J27" s="92">
        <v>1</v>
      </c>
      <c r="K27" s="34" t="s">
        <v>17</v>
      </c>
      <c r="L27" s="96">
        <v>62276</v>
      </c>
      <c r="M27" s="93">
        <v>8414</v>
      </c>
      <c r="N27" s="37">
        <v>45012</v>
      </c>
      <c r="O27" s="59" t="s">
        <v>73</v>
      </c>
      <c r="P27" s="89"/>
    </row>
    <row r="28" spans="1:16" s="43" customFormat="1" ht="24.6" customHeight="1" x14ac:dyDescent="0.2">
      <c r="A28" s="31">
        <v>26</v>
      </c>
      <c r="B28" s="36">
        <v>30</v>
      </c>
      <c r="C28" s="32" t="s">
        <v>185</v>
      </c>
      <c r="D28" s="96">
        <v>150.09999999999991</v>
      </c>
      <c r="E28" s="96">
        <v>220.90000000000009</v>
      </c>
      <c r="F28" s="34">
        <f>(D28-E28)/E28</f>
        <v>-0.32050701674966114</v>
      </c>
      <c r="G28" s="93">
        <v>24</v>
      </c>
      <c r="H28" s="92">
        <v>2</v>
      </c>
      <c r="I28" s="92">
        <f t="shared" si="3"/>
        <v>12</v>
      </c>
      <c r="J28" s="92">
        <v>2</v>
      </c>
      <c r="K28" s="34" t="s">
        <v>17</v>
      </c>
      <c r="L28" s="96">
        <v>7767.369999999999</v>
      </c>
      <c r="M28" s="93">
        <v>1300</v>
      </c>
      <c r="N28" s="37">
        <v>45121</v>
      </c>
      <c r="O28" s="59" t="s">
        <v>89</v>
      </c>
      <c r="P28" s="89"/>
    </row>
    <row r="29" spans="1:16" s="43" customFormat="1" ht="24.6" customHeight="1" x14ac:dyDescent="0.2">
      <c r="A29" s="31">
        <v>27</v>
      </c>
      <c r="B29" s="36">
        <v>28</v>
      </c>
      <c r="C29" s="32" t="s">
        <v>42</v>
      </c>
      <c r="D29" s="96">
        <v>106.8</v>
      </c>
      <c r="E29" s="96">
        <v>248.4</v>
      </c>
      <c r="F29" s="34">
        <f>(D29-E29)/E29</f>
        <v>-0.57004830917874405</v>
      </c>
      <c r="G29" s="93">
        <v>17</v>
      </c>
      <c r="H29" s="92">
        <v>3</v>
      </c>
      <c r="I29" s="92">
        <f t="shared" si="3"/>
        <v>5.666666666666667</v>
      </c>
      <c r="J29" s="92">
        <v>1</v>
      </c>
      <c r="K29" s="92">
        <v>27</v>
      </c>
      <c r="L29" s="96">
        <v>243129.33000000007</v>
      </c>
      <c r="M29" s="93">
        <v>38082</v>
      </c>
      <c r="N29" s="37">
        <v>44988</v>
      </c>
      <c r="O29" s="59" t="s">
        <v>43</v>
      </c>
      <c r="P29" s="89"/>
    </row>
    <row r="30" spans="1:16" s="43" customFormat="1" ht="24.6" customHeight="1" x14ac:dyDescent="0.2">
      <c r="A30" s="31">
        <v>28</v>
      </c>
      <c r="B30" s="36">
        <v>29</v>
      </c>
      <c r="C30" s="32" t="s">
        <v>223</v>
      </c>
      <c r="D30" s="96">
        <v>66.400000000000006</v>
      </c>
      <c r="E30" s="96">
        <v>243.39999999999998</v>
      </c>
      <c r="F30" s="34">
        <f>(D30-E30)/E30</f>
        <v>-0.72719802793755128</v>
      </c>
      <c r="G30" s="93">
        <v>12</v>
      </c>
      <c r="H30" s="92">
        <v>3</v>
      </c>
      <c r="I30" s="92">
        <f t="shared" si="3"/>
        <v>4</v>
      </c>
      <c r="J30" s="92">
        <v>3</v>
      </c>
      <c r="K30" s="92">
        <v>4</v>
      </c>
      <c r="L30" s="96">
        <v>2010</v>
      </c>
      <c r="M30" s="93">
        <v>372</v>
      </c>
      <c r="N30" s="37">
        <v>45156</v>
      </c>
      <c r="O30" s="59" t="s">
        <v>73</v>
      </c>
      <c r="P30" s="89"/>
    </row>
    <row r="31" spans="1:16" s="43" customFormat="1" ht="24.6" customHeight="1" x14ac:dyDescent="0.2">
      <c r="A31" s="31">
        <v>29</v>
      </c>
      <c r="B31" s="34" t="s">
        <v>17</v>
      </c>
      <c r="C31" s="41" t="s">
        <v>145</v>
      </c>
      <c r="D31" s="33">
        <v>60.7</v>
      </c>
      <c r="E31" s="34" t="s">
        <v>17</v>
      </c>
      <c r="F31" s="34" t="s">
        <v>17</v>
      </c>
      <c r="G31" s="35">
        <v>14</v>
      </c>
      <c r="H31" s="36">
        <v>1</v>
      </c>
      <c r="I31" s="92">
        <f t="shared" si="3"/>
        <v>14</v>
      </c>
      <c r="J31" s="35">
        <v>1</v>
      </c>
      <c r="K31" s="34" t="s">
        <v>17</v>
      </c>
      <c r="L31" s="33">
        <v>57702.38</v>
      </c>
      <c r="M31" s="35">
        <v>9321</v>
      </c>
      <c r="N31" s="37">
        <v>45086</v>
      </c>
      <c r="O31" s="59" t="s">
        <v>160</v>
      </c>
      <c r="P31" s="87"/>
    </row>
    <row r="32" spans="1:16" s="43" customFormat="1" ht="24.6" customHeight="1" x14ac:dyDescent="0.2">
      <c r="A32" s="31">
        <v>30</v>
      </c>
      <c r="B32" s="36">
        <v>33</v>
      </c>
      <c r="C32" s="32" t="s">
        <v>130</v>
      </c>
      <c r="D32" s="96">
        <v>60.2</v>
      </c>
      <c r="E32" s="96">
        <v>79.5</v>
      </c>
      <c r="F32" s="34">
        <f>(D32-E32)/E32</f>
        <v>-0.24276729559748425</v>
      </c>
      <c r="G32" s="93">
        <v>8</v>
      </c>
      <c r="H32" s="92">
        <v>2</v>
      </c>
      <c r="I32" s="92">
        <f t="shared" si="3"/>
        <v>4</v>
      </c>
      <c r="J32" s="92">
        <v>1</v>
      </c>
      <c r="K32" s="34" t="s">
        <v>17</v>
      </c>
      <c r="L32" s="96">
        <v>10011.700000000003</v>
      </c>
      <c r="M32" s="93">
        <v>1533</v>
      </c>
      <c r="N32" s="37">
        <v>45079</v>
      </c>
      <c r="O32" s="59" t="s">
        <v>33</v>
      </c>
      <c r="P32" s="89"/>
    </row>
    <row r="33" spans="1:16" s="43" customFormat="1" ht="24.6" customHeight="1" x14ac:dyDescent="0.2">
      <c r="A33" s="31">
        <v>31</v>
      </c>
      <c r="B33" s="36">
        <v>24</v>
      </c>
      <c r="C33" s="32" t="s">
        <v>218</v>
      </c>
      <c r="D33" s="96">
        <v>40</v>
      </c>
      <c r="E33" s="96">
        <v>340.25</v>
      </c>
      <c r="F33" s="34">
        <f>(D33-E33)/E33</f>
        <v>-0.88243938280675971</v>
      </c>
      <c r="G33" s="93">
        <v>11</v>
      </c>
      <c r="H33" s="92">
        <v>4</v>
      </c>
      <c r="I33" s="92">
        <f t="shared" si="3"/>
        <v>2.75</v>
      </c>
      <c r="J33" s="92">
        <v>3</v>
      </c>
      <c r="K33" s="92">
        <v>5</v>
      </c>
      <c r="L33" s="96">
        <v>13184.6</v>
      </c>
      <c r="M33" s="93">
        <v>2778</v>
      </c>
      <c r="N33" s="37">
        <v>45149</v>
      </c>
      <c r="O33" s="59" t="s">
        <v>219</v>
      </c>
      <c r="P33" s="89"/>
    </row>
    <row r="34" spans="1:16" s="43" customFormat="1" ht="24.6" customHeight="1" x14ac:dyDescent="0.2">
      <c r="A34" s="31">
        <v>32</v>
      </c>
      <c r="B34" s="36">
        <v>19</v>
      </c>
      <c r="C34" s="32" t="s">
        <v>226</v>
      </c>
      <c r="D34" s="33">
        <v>29</v>
      </c>
      <c r="E34" s="33">
        <v>788.94</v>
      </c>
      <c r="F34" s="34">
        <f>(D34-E34)/E34</f>
        <v>-0.9632418181357264</v>
      </c>
      <c r="G34" s="35">
        <v>6</v>
      </c>
      <c r="H34" s="36">
        <v>2</v>
      </c>
      <c r="I34" s="92">
        <f t="shared" si="3"/>
        <v>3</v>
      </c>
      <c r="J34" s="36">
        <v>2</v>
      </c>
      <c r="K34" s="36">
        <v>4</v>
      </c>
      <c r="L34" s="33">
        <v>16123.83</v>
      </c>
      <c r="M34" s="93">
        <v>3511</v>
      </c>
      <c r="N34" s="37">
        <v>45156</v>
      </c>
      <c r="O34" s="67" t="s">
        <v>25</v>
      </c>
      <c r="P34" s="89"/>
    </row>
    <row r="35" spans="1:16" s="43" customFormat="1" ht="24.6" customHeight="1" x14ac:dyDescent="0.2">
      <c r="A35" s="31">
        <v>33</v>
      </c>
      <c r="B35" s="36">
        <v>27</v>
      </c>
      <c r="C35" s="32" t="s">
        <v>242</v>
      </c>
      <c r="D35" s="96">
        <v>27</v>
      </c>
      <c r="E35" s="96">
        <v>283.36</v>
      </c>
      <c r="F35" s="34">
        <f>(D35-E35)/E35</f>
        <v>-0.90471485036702426</v>
      </c>
      <c r="G35" s="93">
        <v>5</v>
      </c>
      <c r="H35" s="92">
        <v>3</v>
      </c>
      <c r="I35" s="92">
        <f t="shared" si="3"/>
        <v>1.6666666666666667</v>
      </c>
      <c r="J35" s="92">
        <v>2</v>
      </c>
      <c r="K35" s="92">
        <v>2</v>
      </c>
      <c r="L35" s="96">
        <v>368.18</v>
      </c>
      <c r="M35" s="93">
        <v>72</v>
      </c>
      <c r="N35" s="37">
        <v>45170</v>
      </c>
      <c r="O35" s="59" t="s">
        <v>30</v>
      </c>
      <c r="P35" s="89"/>
    </row>
    <row r="36" spans="1:16" s="43" customFormat="1" ht="24.6" customHeight="1" x14ac:dyDescent="0.2">
      <c r="A36" s="31">
        <v>34</v>
      </c>
      <c r="B36" s="36">
        <v>15</v>
      </c>
      <c r="C36" s="32" t="s">
        <v>237</v>
      </c>
      <c r="D36" s="96">
        <v>8</v>
      </c>
      <c r="E36" s="96">
        <v>2726.79</v>
      </c>
      <c r="F36" s="34">
        <f>(D36-E36)/E36</f>
        <v>-0.99706614737475197</v>
      </c>
      <c r="G36" s="93">
        <v>2</v>
      </c>
      <c r="H36" s="92">
        <v>1</v>
      </c>
      <c r="I36" s="92">
        <f t="shared" si="3"/>
        <v>2</v>
      </c>
      <c r="J36" s="92">
        <v>1</v>
      </c>
      <c r="K36" s="92">
        <v>3</v>
      </c>
      <c r="L36" s="96">
        <v>24014.3</v>
      </c>
      <c r="M36" s="93">
        <v>4268</v>
      </c>
      <c r="N36" s="37">
        <v>45163</v>
      </c>
      <c r="O36" s="59" t="s">
        <v>25</v>
      </c>
      <c r="P36" s="89"/>
    </row>
    <row r="37" spans="1:16" s="51" customFormat="1" ht="24" customHeight="1" x14ac:dyDescent="0.2">
      <c r="B37" s="84"/>
      <c r="C37" s="77" t="s">
        <v>239</v>
      </c>
      <c r="D37" s="52">
        <f>SUBTOTAL(109,Table13245678910111213141517161819202122[Pajamos 
(GBO)])</f>
        <v>142340.74000000002</v>
      </c>
      <c r="E37" s="52" t="s">
        <v>250</v>
      </c>
      <c r="F37" s="81">
        <f t="shared" ref="F37" si="4">(D37-E37)/E37</f>
        <v>-0.31348455179465406</v>
      </c>
      <c r="G37" s="78">
        <f>SUBTOTAL(109,Table13245678910111213141517161819202122[Žiūrovų sk. 
(ADM)])</f>
        <v>20980</v>
      </c>
      <c r="H37" s="70"/>
      <c r="I37" s="70"/>
      <c r="J37" s="70"/>
      <c r="K37" s="70"/>
      <c r="L37" s="52"/>
      <c r="M37" s="78"/>
      <c r="N37" s="53"/>
      <c r="O37" s="79" t="s">
        <v>56</v>
      </c>
      <c r="P37" s="85"/>
    </row>
    <row r="38" spans="1:16" ht="11.25" hidden="1" x14ac:dyDescent="0.15">
      <c r="F38" s="4"/>
      <c r="L38" s="3"/>
    </row>
    <row r="39" spans="1:16" ht="11.25" hidden="1" x14ac:dyDescent="0.15">
      <c r="F39" s="4"/>
      <c r="L39" s="3"/>
    </row>
    <row r="40" spans="1:16" ht="11.25" hidden="1" x14ac:dyDescent="0.15">
      <c r="F40" s="4"/>
      <c r="L40" s="3"/>
    </row>
    <row r="41" spans="1:16" ht="11.25" hidden="1" x14ac:dyDescent="0.15">
      <c r="F41" s="4"/>
      <c r="L41" s="3"/>
    </row>
    <row r="42" spans="1:16" ht="11.25" hidden="1" x14ac:dyDescent="0.15">
      <c r="F42" s="4"/>
      <c r="L42" s="3"/>
    </row>
    <row r="43" spans="1:16" ht="11.25" hidden="1" x14ac:dyDescent="0.15">
      <c r="F43" s="4"/>
      <c r="L43" s="3"/>
    </row>
    <row r="44" spans="1:16" ht="11.25" hidden="1" x14ac:dyDescent="0.15">
      <c r="F44" s="4"/>
      <c r="L44" s="3"/>
    </row>
    <row r="45" spans="1:16" ht="11.25" hidden="1" x14ac:dyDescent="0.15">
      <c r="F45" s="4"/>
      <c r="L45" s="3"/>
    </row>
    <row r="46" spans="1:16" ht="11.25" hidden="1" x14ac:dyDescent="0.15">
      <c r="F46" s="4"/>
      <c r="L46" s="3"/>
    </row>
    <row r="47" spans="1:16" ht="11.25" hidden="1" x14ac:dyDescent="0.15">
      <c r="F47" s="4"/>
      <c r="L47" s="3"/>
    </row>
    <row r="48" spans="1:16" ht="11.25" hidden="1" x14ac:dyDescent="0.15">
      <c r="F48" s="4"/>
      <c r="L48" s="3"/>
    </row>
    <row r="49" spans="1:16383" ht="11.25" hidden="1" x14ac:dyDescent="0.15">
      <c r="F49" s="4"/>
      <c r="L49" s="3"/>
    </row>
    <row r="50" spans="1:16383" ht="11.25" hidden="1" x14ac:dyDescent="0.15">
      <c r="F50" s="4"/>
    </row>
    <row r="51" spans="1:16383" s="44" customFormat="1" ht="11.25" hidden="1" x14ac:dyDescent="0.15">
      <c r="A51" s="1"/>
      <c r="B51" s="66"/>
      <c r="C51" s="1"/>
      <c r="D51" s="5"/>
      <c r="E51" s="5"/>
      <c r="F51" s="4"/>
      <c r="K51" s="66"/>
      <c r="L51" s="5"/>
      <c r="N51" s="12"/>
      <c r="O51" s="6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44" customFormat="1" ht="11.25" hidden="1" x14ac:dyDescent="0.15">
      <c r="A52" s="1"/>
      <c r="B52" s="66"/>
      <c r="C52" s="1"/>
      <c r="D52" s="5"/>
      <c r="E52" s="5"/>
      <c r="F52" s="4"/>
      <c r="K52" s="66"/>
      <c r="L52" s="5"/>
      <c r="N52" s="12"/>
      <c r="O52" s="6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s="44" customFormat="1" ht="11.25" hidden="1" x14ac:dyDescent="0.15">
      <c r="A53" s="1"/>
      <c r="B53" s="66"/>
      <c r="C53" s="1"/>
      <c r="D53" s="5"/>
      <c r="E53" s="5"/>
      <c r="F53" s="4"/>
      <c r="K53" s="66"/>
      <c r="L53" s="5"/>
      <c r="N53" s="12"/>
      <c r="O53" s="6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ht="11.25" hidden="1" x14ac:dyDescent="0.15"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6383" ht="11.25" hidden="1" x14ac:dyDescent="0.15"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6383" ht="11.25" hidden="1" x14ac:dyDescent="0.15"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6383" ht="11.25" hidden="1" x14ac:dyDescent="0.15"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6383" ht="11.25" hidden="1" x14ac:dyDescent="0.15"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6383" ht="11.25" hidden="1" x14ac:dyDescent="0.15"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6383" ht="11.25" hidden="1" x14ac:dyDescent="0.15"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6383" ht="11.25" hidden="1" x14ac:dyDescent="0.15"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6383" ht="11.25" hidden="1" x14ac:dyDescent="0.15"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6383" ht="11.25" hidden="1" x14ac:dyDescent="0.15"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6383" ht="11.25" hidden="1" x14ac:dyDescent="0.15"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84FFF-FF3B-4A7C-9143-3EB42DEC8B12}">
  <dimension ref="A1:XFC65"/>
  <sheetViews>
    <sheetView topLeftCell="A21" zoomScale="60" zoomScaleNormal="60" workbookViewId="0">
      <selection activeCell="C27" sqref="C27:XFD27"/>
    </sheetView>
  </sheetViews>
  <sheetFormatPr defaultColWidth="18.28515625" defaultRowHeight="11.25" customHeight="1" zeroHeight="1" x14ac:dyDescent="0.15"/>
  <cols>
    <col min="1" max="1" width="4.7109375" style="1" customWidth="1"/>
    <col min="2" max="2" width="4.7109375" style="66" customWidth="1"/>
    <col min="3" max="3" width="31.4257812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240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2" customFormat="1" ht="24.95" customHeight="1" x14ac:dyDescent="0.2">
      <c r="A3" s="31">
        <v>1</v>
      </c>
      <c r="B3" s="31">
        <v>3</v>
      </c>
      <c r="C3" s="32" t="s">
        <v>236</v>
      </c>
      <c r="D3" s="96">
        <v>32239.85</v>
      </c>
      <c r="E3" s="96">
        <v>17876.04</v>
      </c>
      <c r="F3" s="34">
        <f>(D3-E3)/E3</f>
        <v>0.8035230397783848</v>
      </c>
      <c r="G3" s="93">
        <v>6290</v>
      </c>
      <c r="H3" s="92">
        <v>115</v>
      </c>
      <c r="I3" s="92">
        <f>G3/H3</f>
        <v>54.695652173913047</v>
      </c>
      <c r="J3" s="92">
        <v>16</v>
      </c>
      <c r="K3" s="92">
        <v>2</v>
      </c>
      <c r="L3" s="96">
        <v>70027.72</v>
      </c>
      <c r="M3" s="93">
        <v>14568</v>
      </c>
      <c r="N3" s="37">
        <v>45163</v>
      </c>
      <c r="O3" s="59" t="s">
        <v>33</v>
      </c>
      <c r="P3" s="89"/>
    </row>
    <row r="4" spans="1:18" s="39" customFormat="1" ht="24.6" customHeight="1" x14ac:dyDescent="0.2">
      <c r="A4" s="31">
        <v>2</v>
      </c>
      <c r="B4" s="36" t="s">
        <v>15</v>
      </c>
      <c r="C4" s="32" t="s">
        <v>246</v>
      </c>
      <c r="D4" s="96">
        <v>22366</v>
      </c>
      <c r="E4" s="96" t="s">
        <v>17</v>
      </c>
      <c r="F4" s="34" t="s">
        <v>17</v>
      </c>
      <c r="G4" s="93">
        <v>2929</v>
      </c>
      <c r="H4" s="92">
        <v>84</v>
      </c>
      <c r="I4" s="92">
        <f>G4/H4</f>
        <v>34.86904761904762</v>
      </c>
      <c r="J4" s="92">
        <v>15</v>
      </c>
      <c r="K4" s="92">
        <v>1</v>
      </c>
      <c r="L4" s="96">
        <v>25558.47</v>
      </c>
      <c r="M4" s="93">
        <v>3352</v>
      </c>
      <c r="N4" s="37">
        <v>45170</v>
      </c>
      <c r="O4" s="59" t="s">
        <v>23</v>
      </c>
      <c r="P4" s="87"/>
    </row>
    <row r="5" spans="1:18" s="39" customFormat="1" ht="24.6" customHeight="1" x14ac:dyDescent="0.2">
      <c r="A5" s="31">
        <v>3</v>
      </c>
      <c r="B5" s="36" t="s">
        <v>15</v>
      </c>
      <c r="C5" s="32" t="s">
        <v>243</v>
      </c>
      <c r="D5" s="96">
        <v>19669</v>
      </c>
      <c r="E5" s="96" t="s">
        <v>17</v>
      </c>
      <c r="F5" s="34" t="s">
        <v>17</v>
      </c>
      <c r="G5" s="93">
        <v>3883</v>
      </c>
      <c r="H5" s="96" t="s">
        <v>17</v>
      </c>
      <c r="I5" s="34" t="s">
        <v>17</v>
      </c>
      <c r="J5" s="92">
        <v>15</v>
      </c>
      <c r="K5" s="92">
        <v>1</v>
      </c>
      <c r="L5" s="96">
        <v>19669</v>
      </c>
      <c r="M5" s="93">
        <v>3883</v>
      </c>
      <c r="N5" s="37">
        <v>45170</v>
      </c>
      <c r="O5" s="59" t="s">
        <v>28</v>
      </c>
      <c r="P5" s="87"/>
      <c r="R5" s="31"/>
    </row>
    <row r="6" spans="1:18" s="39" customFormat="1" ht="24.95" customHeight="1" x14ac:dyDescent="0.2">
      <c r="A6" s="31">
        <v>4</v>
      </c>
      <c r="B6" s="31">
        <v>2</v>
      </c>
      <c r="C6" s="32" t="s">
        <v>189</v>
      </c>
      <c r="D6" s="96">
        <v>18451.21</v>
      </c>
      <c r="E6" s="96">
        <v>23184.78</v>
      </c>
      <c r="F6" s="34">
        <f>(D6-E6)/E6</f>
        <v>-0.20416713033291667</v>
      </c>
      <c r="G6" s="93">
        <v>2767</v>
      </c>
      <c r="H6" s="92">
        <v>91</v>
      </c>
      <c r="I6" s="92">
        <f>G6/H6</f>
        <v>30.406593406593405</v>
      </c>
      <c r="J6" s="92">
        <v>11</v>
      </c>
      <c r="K6" s="92">
        <v>7</v>
      </c>
      <c r="L6" s="96">
        <v>1114025.49</v>
      </c>
      <c r="M6" s="93">
        <v>169230</v>
      </c>
      <c r="N6" s="37">
        <v>45128</v>
      </c>
      <c r="O6" s="59" t="s">
        <v>21</v>
      </c>
      <c r="P6" s="89"/>
      <c r="R6" s="31"/>
    </row>
    <row r="7" spans="1:18" s="39" customFormat="1" ht="24.6" customHeight="1" x14ac:dyDescent="0.2">
      <c r="A7" s="31">
        <v>5</v>
      </c>
      <c r="B7" s="13">
        <v>1</v>
      </c>
      <c r="C7" s="14" t="s">
        <v>193</v>
      </c>
      <c r="D7" s="98">
        <v>17635.09</v>
      </c>
      <c r="E7" s="98">
        <v>24723.71</v>
      </c>
      <c r="F7" s="16">
        <f>(D7-E7)/E7</f>
        <v>-0.28671344227868711</v>
      </c>
      <c r="G7" s="99">
        <v>2298</v>
      </c>
      <c r="H7" s="95">
        <v>59</v>
      </c>
      <c r="I7" s="95">
        <f>G7/H7</f>
        <v>38.949152542372879</v>
      </c>
      <c r="J7" s="95">
        <v>11</v>
      </c>
      <c r="K7" s="95">
        <v>7</v>
      </c>
      <c r="L7" s="98">
        <v>984476.75</v>
      </c>
      <c r="M7" s="99">
        <v>137685</v>
      </c>
      <c r="N7" s="19">
        <v>45128</v>
      </c>
      <c r="O7" s="68" t="s">
        <v>160</v>
      </c>
      <c r="P7" s="100"/>
      <c r="R7" s="31"/>
    </row>
    <row r="8" spans="1:18" s="39" customFormat="1" ht="24.95" customHeight="1" x14ac:dyDescent="0.2">
      <c r="A8" s="31">
        <v>6</v>
      </c>
      <c r="B8" s="13">
        <v>8</v>
      </c>
      <c r="C8" s="14" t="s">
        <v>154</v>
      </c>
      <c r="D8" s="98">
        <v>15590</v>
      </c>
      <c r="E8" s="98">
        <v>6606.03</v>
      </c>
      <c r="F8" s="16">
        <f>(D8-E8)/E8</f>
        <v>1.3599650622234536</v>
      </c>
      <c r="G8" s="99">
        <v>2860</v>
      </c>
      <c r="H8" s="95">
        <v>42</v>
      </c>
      <c r="I8" s="95">
        <f>G8/H8</f>
        <v>68.095238095238102</v>
      </c>
      <c r="J8" s="95">
        <v>8</v>
      </c>
      <c r="K8" s="95">
        <v>12</v>
      </c>
      <c r="L8" s="98">
        <v>480863.84</v>
      </c>
      <c r="M8" s="99">
        <v>95112</v>
      </c>
      <c r="N8" s="19">
        <v>45093</v>
      </c>
      <c r="O8" s="68" t="s">
        <v>49</v>
      </c>
      <c r="P8" s="60"/>
      <c r="R8" s="31"/>
    </row>
    <row r="9" spans="1:18" s="39" customFormat="1" ht="24.95" customHeight="1" x14ac:dyDescent="0.2">
      <c r="A9" s="31">
        <v>7</v>
      </c>
      <c r="B9" s="31">
        <v>5</v>
      </c>
      <c r="C9" s="32" t="s">
        <v>216</v>
      </c>
      <c r="D9" s="96">
        <v>15498.69</v>
      </c>
      <c r="E9" s="96">
        <v>16213.37</v>
      </c>
      <c r="F9" s="34">
        <f>(D9-E9)/E9</f>
        <v>-4.407967005008831E-2</v>
      </c>
      <c r="G9" s="93">
        <v>2288</v>
      </c>
      <c r="H9" s="92">
        <v>46</v>
      </c>
      <c r="I9" s="92">
        <f>G9/H9</f>
        <v>49.739130434782609</v>
      </c>
      <c r="J9" s="92">
        <v>10</v>
      </c>
      <c r="K9" s="92">
        <v>4</v>
      </c>
      <c r="L9" s="96">
        <v>178763.04</v>
      </c>
      <c r="M9" s="93">
        <v>28246</v>
      </c>
      <c r="N9" s="37">
        <v>45149</v>
      </c>
      <c r="O9" s="59" t="s">
        <v>23</v>
      </c>
      <c r="P9" s="89"/>
      <c r="R9" s="31"/>
    </row>
    <row r="10" spans="1:18" s="2" customFormat="1" ht="24.95" customHeight="1" x14ac:dyDescent="0.2">
      <c r="A10" s="31">
        <v>8</v>
      </c>
      <c r="B10" s="31">
        <v>4</v>
      </c>
      <c r="C10" s="32" t="s">
        <v>233</v>
      </c>
      <c r="D10" s="96">
        <v>13007</v>
      </c>
      <c r="E10" s="96">
        <v>17492</v>
      </c>
      <c r="F10" s="34">
        <f>(D10-E10)/E10</f>
        <v>-0.25640292705236678</v>
      </c>
      <c r="G10" s="93">
        <v>1735</v>
      </c>
      <c r="H10" s="92" t="s">
        <v>17</v>
      </c>
      <c r="I10" s="92" t="s">
        <v>17</v>
      </c>
      <c r="J10" s="92">
        <v>11</v>
      </c>
      <c r="K10" s="92">
        <v>2</v>
      </c>
      <c r="L10" s="96">
        <v>49590</v>
      </c>
      <c r="M10" s="93">
        <v>7881</v>
      </c>
      <c r="N10" s="37">
        <v>45163</v>
      </c>
      <c r="O10" s="59" t="s">
        <v>28</v>
      </c>
      <c r="P10" s="89"/>
      <c r="R10" s="13"/>
    </row>
    <row r="11" spans="1:18" s="2" customFormat="1" ht="24.95" customHeight="1" x14ac:dyDescent="0.2">
      <c r="A11" s="31">
        <v>9</v>
      </c>
      <c r="B11" s="36" t="s">
        <v>15</v>
      </c>
      <c r="C11" s="32" t="s">
        <v>244</v>
      </c>
      <c r="D11" s="96">
        <v>10225</v>
      </c>
      <c r="E11" s="96" t="s">
        <v>17</v>
      </c>
      <c r="F11" s="34" t="s">
        <v>17</v>
      </c>
      <c r="G11" s="93">
        <v>1512</v>
      </c>
      <c r="H11" s="96" t="s">
        <v>17</v>
      </c>
      <c r="I11" s="34" t="s">
        <v>17</v>
      </c>
      <c r="J11" s="92">
        <v>7</v>
      </c>
      <c r="K11" s="92">
        <v>1</v>
      </c>
      <c r="L11" s="96">
        <v>10225</v>
      </c>
      <c r="M11" s="93">
        <v>1512</v>
      </c>
      <c r="N11" s="37">
        <v>45170</v>
      </c>
      <c r="O11" s="59" t="s">
        <v>28</v>
      </c>
      <c r="P11" s="87"/>
      <c r="R11" s="13"/>
    </row>
    <row r="12" spans="1:18" s="43" customFormat="1" ht="24.6" customHeight="1" x14ac:dyDescent="0.2">
      <c r="A12" s="31">
        <v>10</v>
      </c>
      <c r="B12" s="13">
        <v>9</v>
      </c>
      <c r="C12" s="14" t="s">
        <v>227</v>
      </c>
      <c r="D12" s="98">
        <v>7259.74</v>
      </c>
      <c r="E12" s="98">
        <v>5264.94</v>
      </c>
      <c r="F12" s="16">
        <f>(D12-E12)/E12</f>
        <v>0.37888370997580223</v>
      </c>
      <c r="G12" s="99">
        <v>1182</v>
      </c>
      <c r="H12" s="95">
        <v>18</v>
      </c>
      <c r="I12" s="95">
        <f t="shared" ref="I12:I37" si="0">G12/H12</f>
        <v>65.666666666666671</v>
      </c>
      <c r="J12" s="95">
        <v>8</v>
      </c>
      <c r="K12" s="95">
        <v>3</v>
      </c>
      <c r="L12" s="98">
        <v>28593.23</v>
      </c>
      <c r="M12" s="99">
        <v>4894</v>
      </c>
      <c r="N12" s="19">
        <v>45156</v>
      </c>
      <c r="O12" s="68" t="s">
        <v>219</v>
      </c>
      <c r="P12" s="100"/>
    </row>
    <row r="13" spans="1:18" s="43" customFormat="1" ht="24.6" customHeight="1" x14ac:dyDescent="0.2">
      <c r="A13" s="31">
        <v>11</v>
      </c>
      <c r="B13" s="31">
        <v>6</v>
      </c>
      <c r="C13" s="32" t="s">
        <v>209</v>
      </c>
      <c r="D13" s="97">
        <v>6948.83</v>
      </c>
      <c r="E13" s="97">
        <v>9870.4500000000007</v>
      </c>
      <c r="F13" s="34">
        <f>(D13-E13)/E13</f>
        <v>-0.29599663642488444</v>
      </c>
      <c r="G13" s="94">
        <v>1018</v>
      </c>
      <c r="H13" s="92">
        <v>23</v>
      </c>
      <c r="I13" s="92">
        <f t="shared" si="0"/>
        <v>44.260869565217391</v>
      </c>
      <c r="J13" s="92">
        <v>6</v>
      </c>
      <c r="K13" s="92">
        <v>5</v>
      </c>
      <c r="L13" s="97">
        <v>173106.01</v>
      </c>
      <c r="M13" s="94">
        <v>27841</v>
      </c>
      <c r="N13" s="37">
        <v>45142</v>
      </c>
      <c r="O13" s="59" t="s">
        <v>21</v>
      </c>
      <c r="P13" s="89"/>
    </row>
    <row r="14" spans="1:18" ht="24.6" customHeight="1" x14ac:dyDescent="0.2">
      <c r="A14" s="31">
        <v>12</v>
      </c>
      <c r="B14" s="36" t="s">
        <v>15</v>
      </c>
      <c r="C14" s="32" t="s">
        <v>247</v>
      </c>
      <c r="D14" s="96">
        <v>6249.6</v>
      </c>
      <c r="E14" s="96" t="s">
        <v>17</v>
      </c>
      <c r="F14" s="34" t="s">
        <v>17</v>
      </c>
      <c r="G14" s="93">
        <v>962</v>
      </c>
      <c r="H14" s="92">
        <v>62</v>
      </c>
      <c r="I14" s="92">
        <f t="shared" si="0"/>
        <v>15.516129032258064</v>
      </c>
      <c r="J14" s="92">
        <v>13</v>
      </c>
      <c r="K14" s="92">
        <v>1</v>
      </c>
      <c r="L14" s="96">
        <v>6249.6</v>
      </c>
      <c r="M14" s="93">
        <v>962</v>
      </c>
      <c r="N14" s="37">
        <v>45170</v>
      </c>
      <c r="O14" s="59" t="s">
        <v>143</v>
      </c>
      <c r="P14" s="87"/>
    </row>
    <row r="15" spans="1:18" s="43" customFormat="1" ht="24.6" customHeight="1" x14ac:dyDescent="0.2">
      <c r="A15" s="31">
        <v>13</v>
      </c>
      <c r="B15" s="13">
        <v>13</v>
      </c>
      <c r="C15" s="14" t="s">
        <v>210</v>
      </c>
      <c r="D15" s="101">
        <v>5195.41</v>
      </c>
      <c r="E15" s="101">
        <v>3139.6</v>
      </c>
      <c r="F15" s="16">
        <f>(D15-E15)/E15</f>
        <v>0.65479997451904703</v>
      </c>
      <c r="G15" s="102">
        <v>997</v>
      </c>
      <c r="H15" s="95">
        <v>22</v>
      </c>
      <c r="I15" s="95">
        <f t="shared" si="0"/>
        <v>45.31818181818182</v>
      </c>
      <c r="J15" s="95">
        <v>7</v>
      </c>
      <c r="K15" s="95">
        <v>5</v>
      </c>
      <c r="L15" s="101">
        <v>74586.87</v>
      </c>
      <c r="M15" s="102">
        <v>14768</v>
      </c>
      <c r="N15" s="19">
        <v>45142</v>
      </c>
      <c r="O15" s="68" t="s">
        <v>159</v>
      </c>
      <c r="P15" s="100"/>
    </row>
    <row r="16" spans="1:18" ht="24.6" customHeight="1" x14ac:dyDescent="0.2">
      <c r="A16" s="31">
        <v>14</v>
      </c>
      <c r="B16" s="31">
        <v>14</v>
      </c>
      <c r="C16" s="32" t="s">
        <v>184</v>
      </c>
      <c r="D16" s="96">
        <v>3558.27</v>
      </c>
      <c r="E16" s="96">
        <v>2415.0700000000002</v>
      </c>
      <c r="F16" s="34">
        <f>(D16-E16)/E16</f>
        <v>0.47336102059153556</v>
      </c>
      <c r="G16" s="93">
        <v>766</v>
      </c>
      <c r="H16" s="92">
        <v>21</v>
      </c>
      <c r="I16" s="92">
        <f t="shared" si="0"/>
        <v>36.476190476190474</v>
      </c>
      <c r="J16" s="92">
        <v>5</v>
      </c>
      <c r="K16" s="92">
        <v>8</v>
      </c>
      <c r="L16" s="96">
        <v>204231.31</v>
      </c>
      <c r="M16" s="93">
        <v>41460</v>
      </c>
      <c r="N16" s="37">
        <v>45121</v>
      </c>
      <c r="O16" s="59" t="s">
        <v>25</v>
      </c>
      <c r="P16" s="89"/>
    </row>
    <row r="17" spans="1:16" s="43" customFormat="1" ht="24.6" customHeight="1" x14ac:dyDescent="0.2">
      <c r="A17" s="31">
        <v>15</v>
      </c>
      <c r="B17" s="31">
        <v>7</v>
      </c>
      <c r="C17" s="32" t="s">
        <v>237</v>
      </c>
      <c r="D17" s="96">
        <v>2726.79</v>
      </c>
      <c r="E17" s="96">
        <v>8311.9699999999993</v>
      </c>
      <c r="F17" s="34">
        <f>(D17-E17)/E17</f>
        <v>-0.67194419614122758</v>
      </c>
      <c r="G17" s="93">
        <v>377</v>
      </c>
      <c r="H17" s="92">
        <v>24</v>
      </c>
      <c r="I17" s="92">
        <f t="shared" si="0"/>
        <v>15.708333333333334</v>
      </c>
      <c r="J17" s="92">
        <v>10</v>
      </c>
      <c r="K17" s="92">
        <v>2</v>
      </c>
      <c r="L17" s="96">
        <v>22907.72</v>
      </c>
      <c r="M17" s="93">
        <v>4073</v>
      </c>
      <c r="N17" s="37">
        <v>45163</v>
      </c>
      <c r="O17" s="59" t="s">
        <v>25</v>
      </c>
      <c r="P17" s="89"/>
    </row>
    <row r="18" spans="1:16" s="43" customFormat="1" ht="24.6" customHeight="1" x14ac:dyDescent="0.2">
      <c r="A18" s="31">
        <v>16</v>
      </c>
      <c r="B18" s="31">
        <v>10</v>
      </c>
      <c r="C18" s="32" t="s">
        <v>224</v>
      </c>
      <c r="D18" s="33">
        <v>2317.8200000000002</v>
      </c>
      <c r="E18" s="33">
        <v>4824.1099999999997</v>
      </c>
      <c r="F18" s="34">
        <f>(D18-E18)/E18</f>
        <v>-0.51953417314281802</v>
      </c>
      <c r="G18" s="35">
        <v>398</v>
      </c>
      <c r="H18" s="36">
        <v>11</v>
      </c>
      <c r="I18" s="92">
        <f t="shared" si="0"/>
        <v>36.18181818181818</v>
      </c>
      <c r="J18" s="36">
        <v>5</v>
      </c>
      <c r="K18" s="36">
        <v>3</v>
      </c>
      <c r="L18" s="33">
        <v>38276.879999999997</v>
      </c>
      <c r="M18" s="93">
        <v>6456</v>
      </c>
      <c r="N18" s="37">
        <v>45156</v>
      </c>
      <c r="O18" s="67" t="s">
        <v>21</v>
      </c>
      <c r="P18" s="89"/>
    </row>
    <row r="19" spans="1:16" s="43" customFormat="1" ht="24.6" customHeight="1" x14ac:dyDescent="0.2">
      <c r="A19" s="31">
        <v>17</v>
      </c>
      <c r="B19" s="36" t="s">
        <v>15</v>
      </c>
      <c r="C19" s="32" t="s">
        <v>245</v>
      </c>
      <c r="D19" s="96">
        <v>1962.78</v>
      </c>
      <c r="E19" s="96" t="s">
        <v>17</v>
      </c>
      <c r="F19" s="34" t="s">
        <v>17</v>
      </c>
      <c r="G19" s="93">
        <v>322</v>
      </c>
      <c r="H19" s="92">
        <v>21</v>
      </c>
      <c r="I19" s="92">
        <f t="shared" si="0"/>
        <v>15.333333333333334</v>
      </c>
      <c r="J19" s="92">
        <v>3</v>
      </c>
      <c r="K19" s="92">
        <v>1</v>
      </c>
      <c r="L19" s="96">
        <v>1962.78</v>
      </c>
      <c r="M19" s="93">
        <v>322</v>
      </c>
      <c r="N19" s="37">
        <v>45170</v>
      </c>
      <c r="O19" s="59" t="s">
        <v>89</v>
      </c>
      <c r="P19" s="89"/>
    </row>
    <row r="20" spans="1:16" s="43" customFormat="1" ht="24.6" customHeight="1" x14ac:dyDescent="0.2">
      <c r="A20" s="31">
        <v>18</v>
      </c>
      <c r="B20" s="96" t="s">
        <v>17</v>
      </c>
      <c r="C20" s="32" t="s">
        <v>133</v>
      </c>
      <c r="D20" s="96">
        <v>963.99</v>
      </c>
      <c r="E20" s="96" t="s">
        <v>17</v>
      </c>
      <c r="F20" s="34" t="s">
        <v>17</v>
      </c>
      <c r="G20" s="93">
        <v>193</v>
      </c>
      <c r="H20" s="92">
        <v>4</v>
      </c>
      <c r="I20" s="92">
        <f t="shared" si="0"/>
        <v>48.25</v>
      </c>
      <c r="J20" s="92">
        <v>4</v>
      </c>
      <c r="K20" s="34" t="s">
        <v>17</v>
      </c>
      <c r="L20" s="96">
        <v>326412.05</v>
      </c>
      <c r="M20" s="93">
        <v>55147</v>
      </c>
      <c r="N20" s="37">
        <v>45079</v>
      </c>
      <c r="O20" s="59" t="s">
        <v>23</v>
      </c>
      <c r="P20" s="87"/>
    </row>
    <row r="21" spans="1:16" ht="24.6" customHeight="1" x14ac:dyDescent="0.2">
      <c r="A21" s="31">
        <v>19</v>
      </c>
      <c r="B21" s="31">
        <v>16</v>
      </c>
      <c r="C21" s="32" t="s">
        <v>226</v>
      </c>
      <c r="D21" s="33">
        <v>788.94</v>
      </c>
      <c r="E21" s="33">
        <v>1723.65</v>
      </c>
      <c r="F21" s="34">
        <f>(D21-E21)/E21</f>
        <v>-0.54228526673048472</v>
      </c>
      <c r="G21" s="35">
        <v>153</v>
      </c>
      <c r="H21" s="36">
        <v>14</v>
      </c>
      <c r="I21" s="92">
        <f t="shared" si="0"/>
        <v>10.928571428571429</v>
      </c>
      <c r="J21" s="36">
        <v>5</v>
      </c>
      <c r="K21" s="36">
        <v>3</v>
      </c>
      <c r="L21" s="33">
        <v>15198.83</v>
      </c>
      <c r="M21" s="93">
        <v>3264</v>
      </c>
      <c r="N21" s="37">
        <v>45156</v>
      </c>
      <c r="O21" s="67" t="s">
        <v>25</v>
      </c>
      <c r="P21" s="89"/>
    </row>
    <row r="22" spans="1:16" s="43" customFormat="1" ht="24.6" customHeight="1" x14ac:dyDescent="0.2">
      <c r="A22" s="31">
        <v>20</v>
      </c>
      <c r="B22" s="31">
        <v>11</v>
      </c>
      <c r="C22" s="32" t="s">
        <v>238</v>
      </c>
      <c r="D22" s="96">
        <v>780.65</v>
      </c>
      <c r="E22" s="96">
        <v>4122.95</v>
      </c>
      <c r="F22" s="34">
        <f>(D22-E22)/E22</f>
        <v>-0.81065741762572907</v>
      </c>
      <c r="G22" s="93">
        <v>118</v>
      </c>
      <c r="H22" s="92">
        <v>7</v>
      </c>
      <c r="I22" s="92">
        <f t="shared" si="0"/>
        <v>16.857142857142858</v>
      </c>
      <c r="J22" s="92">
        <v>4</v>
      </c>
      <c r="K22" s="92">
        <v>2</v>
      </c>
      <c r="L22" s="96">
        <v>12182.67</v>
      </c>
      <c r="M22" s="93">
        <v>2360</v>
      </c>
      <c r="N22" s="37">
        <v>45163</v>
      </c>
      <c r="O22" s="59" t="s">
        <v>25</v>
      </c>
      <c r="P22" s="89"/>
    </row>
    <row r="23" spans="1:16" s="43" customFormat="1" ht="24.6" customHeight="1" x14ac:dyDescent="0.2">
      <c r="A23" s="31">
        <v>21</v>
      </c>
      <c r="B23" s="31">
        <v>22</v>
      </c>
      <c r="C23" s="32" t="s">
        <v>232</v>
      </c>
      <c r="D23" s="96">
        <v>686.9</v>
      </c>
      <c r="E23" s="96">
        <v>383.2</v>
      </c>
      <c r="F23" s="34">
        <f>(D23-E23)/E23</f>
        <v>0.79253653444676408</v>
      </c>
      <c r="G23" s="93">
        <v>112</v>
      </c>
      <c r="H23" s="92">
        <v>6</v>
      </c>
      <c r="I23" s="92">
        <f t="shared" si="0"/>
        <v>18.666666666666668</v>
      </c>
      <c r="J23" s="92">
        <v>3</v>
      </c>
      <c r="K23" s="92">
        <v>3</v>
      </c>
      <c r="L23" s="96">
        <v>2430.8000000000002</v>
      </c>
      <c r="M23" s="93">
        <v>374</v>
      </c>
      <c r="N23" s="37">
        <v>45156</v>
      </c>
      <c r="O23" s="59" t="s">
        <v>30</v>
      </c>
      <c r="P23" s="89"/>
    </row>
    <row r="24" spans="1:16" s="43" customFormat="1" ht="24.6" customHeight="1" x14ac:dyDescent="0.2">
      <c r="A24" s="31">
        <v>22</v>
      </c>
      <c r="B24" s="34" t="s">
        <v>17</v>
      </c>
      <c r="C24" s="32" t="s">
        <v>126</v>
      </c>
      <c r="D24" s="96">
        <v>550.23</v>
      </c>
      <c r="E24" s="96" t="s">
        <v>17</v>
      </c>
      <c r="F24" s="34" t="s">
        <v>17</v>
      </c>
      <c r="G24" s="93">
        <v>111</v>
      </c>
      <c r="H24" s="92">
        <v>5</v>
      </c>
      <c r="I24" s="92">
        <f t="shared" si="0"/>
        <v>22.2</v>
      </c>
      <c r="J24" s="92">
        <v>4</v>
      </c>
      <c r="K24" s="34" t="s">
        <v>17</v>
      </c>
      <c r="L24" s="98">
        <v>93122.97</v>
      </c>
      <c r="M24" s="99">
        <v>17744</v>
      </c>
      <c r="N24" s="37">
        <v>45072</v>
      </c>
      <c r="O24" s="59" t="s">
        <v>49</v>
      </c>
      <c r="P24" s="87"/>
    </row>
    <row r="25" spans="1:16" s="43" customFormat="1" ht="24.6" customHeight="1" x14ac:dyDescent="0.2">
      <c r="A25" s="31">
        <v>23</v>
      </c>
      <c r="B25" s="13">
        <v>15</v>
      </c>
      <c r="C25" s="14" t="s">
        <v>186</v>
      </c>
      <c r="D25" s="98">
        <v>446.84</v>
      </c>
      <c r="E25" s="98">
        <v>1899.76</v>
      </c>
      <c r="F25" s="16">
        <f>(D25-E25)/E25</f>
        <v>-0.7647913420642608</v>
      </c>
      <c r="G25" s="99">
        <v>59</v>
      </c>
      <c r="H25" s="95">
        <v>3</v>
      </c>
      <c r="I25" s="95">
        <f t="shared" si="0"/>
        <v>19.666666666666668</v>
      </c>
      <c r="J25" s="95">
        <v>1</v>
      </c>
      <c r="K25" s="95">
        <v>8</v>
      </c>
      <c r="L25" s="98">
        <v>194526.37</v>
      </c>
      <c r="M25" s="99">
        <v>28412</v>
      </c>
      <c r="N25" s="19">
        <v>45121</v>
      </c>
      <c r="O25" s="68" t="s">
        <v>159</v>
      </c>
      <c r="P25" s="100"/>
    </row>
    <row r="26" spans="1:16" s="43" customFormat="1" ht="24.6" customHeight="1" x14ac:dyDescent="0.2">
      <c r="A26" s="31">
        <v>24</v>
      </c>
      <c r="B26" s="13">
        <v>26</v>
      </c>
      <c r="C26" s="14" t="s">
        <v>218</v>
      </c>
      <c r="D26" s="98">
        <v>340.25</v>
      </c>
      <c r="E26" s="98">
        <v>202.87</v>
      </c>
      <c r="F26" s="16">
        <f>(D26-E26)/E26</f>
        <v>0.6771824320993739</v>
      </c>
      <c r="G26" s="99">
        <v>76</v>
      </c>
      <c r="H26" s="95">
        <v>10</v>
      </c>
      <c r="I26" s="95">
        <f t="shared" si="0"/>
        <v>7.6</v>
      </c>
      <c r="J26" s="95">
        <v>7</v>
      </c>
      <c r="K26" s="95">
        <v>4</v>
      </c>
      <c r="L26" s="98">
        <v>13130.06</v>
      </c>
      <c r="M26" s="99">
        <v>2764</v>
      </c>
      <c r="N26" s="19">
        <v>45149</v>
      </c>
      <c r="O26" s="68" t="s">
        <v>219</v>
      </c>
      <c r="P26" s="100"/>
    </row>
    <row r="27" spans="1:16" s="43" customFormat="1" ht="24.6" customHeight="1" x14ac:dyDescent="0.2">
      <c r="A27" s="31">
        <v>25</v>
      </c>
      <c r="B27" s="34" t="s">
        <v>17</v>
      </c>
      <c r="C27" s="32" t="s">
        <v>115</v>
      </c>
      <c r="D27" s="96">
        <v>300.8</v>
      </c>
      <c r="E27" s="96" t="s">
        <v>17</v>
      </c>
      <c r="F27" s="34" t="s">
        <v>17</v>
      </c>
      <c r="G27" s="93">
        <v>51</v>
      </c>
      <c r="H27" s="92">
        <v>2</v>
      </c>
      <c r="I27" s="92">
        <f t="shared" si="0"/>
        <v>25.5</v>
      </c>
      <c r="J27" s="92">
        <v>2</v>
      </c>
      <c r="K27" s="34" t="s">
        <v>17</v>
      </c>
      <c r="L27" s="98">
        <v>9190.2000000000007</v>
      </c>
      <c r="M27" s="99">
        <v>1609</v>
      </c>
      <c r="N27" s="37">
        <v>45065</v>
      </c>
      <c r="O27" s="59" t="s">
        <v>49</v>
      </c>
      <c r="P27" s="87"/>
    </row>
    <row r="28" spans="1:16" s="43" customFormat="1" ht="24.6" customHeight="1" x14ac:dyDescent="0.2">
      <c r="A28" s="31">
        <v>26</v>
      </c>
      <c r="B28" s="34" t="s">
        <v>17</v>
      </c>
      <c r="C28" s="32" t="s">
        <v>201</v>
      </c>
      <c r="D28" s="96">
        <v>291.79999999999995</v>
      </c>
      <c r="E28" s="96" t="s">
        <v>17</v>
      </c>
      <c r="F28" s="34" t="s">
        <v>17</v>
      </c>
      <c r="G28" s="93">
        <v>57</v>
      </c>
      <c r="H28" s="92">
        <v>5</v>
      </c>
      <c r="I28" s="92">
        <f t="shared" si="0"/>
        <v>11.4</v>
      </c>
      <c r="J28" s="92">
        <v>3</v>
      </c>
      <c r="K28" s="34" t="s">
        <v>17</v>
      </c>
      <c r="L28" s="96">
        <v>6001.21</v>
      </c>
      <c r="M28" s="93">
        <v>1038</v>
      </c>
      <c r="N28" s="37">
        <v>45135</v>
      </c>
      <c r="O28" s="59" t="s">
        <v>89</v>
      </c>
      <c r="P28" s="87"/>
    </row>
    <row r="29" spans="1:16" s="43" customFormat="1" ht="24.6" customHeight="1" x14ac:dyDescent="0.2">
      <c r="A29" s="31">
        <v>27</v>
      </c>
      <c r="B29" s="36" t="s">
        <v>15</v>
      </c>
      <c r="C29" s="32" t="s">
        <v>242</v>
      </c>
      <c r="D29" s="96">
        <v>283.36</v>
      </c>
      <c r="E29" s="96" t="s">
        <v>17</v>
      </c>
      <c r="F29" s="34" t="s">
        <v>17</v>
      </c>
      <c r="G29" s="93">
        <v>54</v>
      </c>
      <c r="H29" s="92">
        <v>13</v>
      </c>
      <c r="I29" s="92">
        <f t="shared" si="0"/>
        <v>4.1538461538461542</v>
      </c>
      <c r="J29" s="92">
        <v>5</v>
      </c>
      <c r="K29" s="92">
        <v>1</v>
      </c>
      <c r="L29" s="96">
        <v>283.36</v>
      </c>
      <c r="M29" s="93">
        <v>54</v>
      </c>
      <c r="N29" s="37">
        <v>45170</v>
      </c>
      <c r="O29" s="59" t="s">
        <v>30</v>
      </c>
      <c r="P29" s="87"/>
    </row>
    <row r="30" spans="1:16" s="43" customFormat="1" ht="24.6" customHeight="1" x14ac:dyDescent="0.2">
      <c r="A30" s="31">
        <v>28</v>
      </c>
      <c r="B30" s="31">
        <v>33</v>
      </c>
      <c r="C30" s="32" t="s">
        <v>42</v>
      </c>
      <c r="D30" s="96">
        <v>248.4</v>
      </c>
      <c r="E30" s="96">
        <v>75.7</v>
      </c>
      <c r="F30" s="34">
        <f>(D30-E30)/E30</f>
        <v>2.2813738441215321</v>
      </c>
      <c r="G30" s="93">
        <v>41</v>
      </c>
      <c r="H30" s="92">
        <v>3</v>
      </c>
      <c r="I30" s="92">
        <f t="shared" si="0"/>
        <v>13.666666666666666</v>
      </c>
      <c r="J30" s="92">
        <v>2</v>
      </c>
      <c r="K30" s="92">
        <v>26</v>
      </c>
      <c r="L30" s="96">
        <v>242979.03000000009</v>
      </c>
      <c r="M30" s="93">
        <v>38058</v>
      </c>
      <c r="N30" s="37">
        <v>44988</v>
      </c>
      <c r="O30" s="59" t="s">
        <v>43</v>
      </c>
      <c r="P30" s="89"/>
    </row>
    <row r="31" spans="1:16" s="43" customFormat="1" ht="24.6" customHeight="1" x14ac:dyDescent="0.2">
      <c r="A31" s="31">
        <v>29</v>
      </c>
      <c r="B31" s="31">
        <v>27</v>
      </c>
      <c r="C31" s="32" t="s">
        <v>223</v>
      </c>
      <c r="D31" s="96">
        <v>243.39999999999998</v>
      </c>
      <c r="E31" s="96">
        <v>198</v>
      </c>
      <c r="F31" s="34">
        <f>(D31-E31)/E31</f>
        <v>0.22929292929292919</v>
      </c>
      <c r="G31" s="93">
        <v>45</v>
      </c>
      <c r="H31" s="92">
        <v>7</v>
      </c>
      <c r="I31" s="92">
        <f t="shared" si="0"/>
        <v>6.4285714285714288</v>
      </c>
      <c r="J31" s="92">
        <v>4</v>
      </c>
      <c r="K31" s="92">
        <v>3</v>
      </c>
      <c r="L31" s="96">
        <v>1603</v>
      </c>
      <c r="M31" s="93">
        <v>297</v>
      </c>
      <c r="N31" s="37">
        <v>45156</v>
      </c>
      <c r="O31" s="59" t="s">
        <v>73</v>
      </c>
      <c r="P31" s="89"/>
    </row>
    <row r="32" spans="1:16" s="43" customFormat="1" ht="24.6" customHeight="1" x14ac:dyDescent="0.2">
      <c r="A32" s="31">
        <v>30</v>
      </c>
      <c r="B32" s="96" t="s">
        <v>17</v>
      </c>
      <c r="C32" s="32" t="s">
        <v>185</v>
      </c>
      <c r="D32" s="96">
        <v>220.90000000000009</v>
      </c>
      <c r="E32" s="96" t="s">
        <v>17</v>
      </c>
      <c r="F32" s="34" t="s">
        <v>17</v>
      </c>
      <c r="G32" s="93">
        <v>36</v>
      </c>
      <c r="H32" s="92">
        <v>5</v>
      </c>
      <c r="I32" s="92">
        <f t="shared" si="0"/>
        <v>7.2</v>
      </c>
      <c r="J32" s="92">
        <v>2</v>
      </c>
      <c r="K32" s="34" t="s">
        <v>17</v>
      </c>
      <c r="L32" s="96">
        <v>7487.27</v>
      </c>
      <c r="M32" s="93">
        <v>1256</v>
      </c>
      <c r="N32" s="37">
        <v>45121</v>
      </c>
      <c r="O32" s="59" t="s">
        <v>89</v>
      </c>
      <c r="P32" s="87"/>
    </row>
    <row r="33" spans="1:16" s="43" customFormat="1" ht="24.6" customHeight="1" x14ac:dyDescent="0.2">
      <c r="A33" s="31">
        <v>31</v>
      </c>
      <c r="B33" s="34" t="s">
        <v>17</v>
      </c>
      <c r="C33" s="32" t="s">
        <v>72</v>
      </c>
      <c r="D33" s="96">
        <v>108</v>
      </c>
      <c r="E33" s="96" t="s">
        <v>17</v>
      </c>
      <c r="F33" s="34" t="s">
        <v>17</v>
      </c>
      <c r="G33" s="93">
        <v>19</v>
      </c>
      <c r="H33" s="92">
        <v>1</v>
      </c>
      <c r="I33" s="92">
        <f t="shared" si="0"/>
        <v>19</v>
      </c>
      <c r="J33" s="92">
        <v>1</v>
      </c>
      <c r="K33" s="34" t="s">
        <v>17</v>
      </c>
      <c r="L33" s="96">
        <v>62118</v>
      </c>
      <c r="M33" s="93">
        <v>8384</v>
      </c>
      <c r="N33" s="37">
        <v>45012</v>
      </c>
      <c r="O33" s="59" t="s">
        <v>73</v>
      </c>
      <c r="P33" s="87"/>
    </row>
    <row r="34" spans="1:16" s="43" customFormat="1" ht="24.6" customHeight="1" x14ac:dyDescent="0.2">
      <c r="A34" s="31">
        <v>32</v>
      </c>
      <c r="B34" s="31">
        <v>19</v>
      </c>
      <c r="C34" s="32" t="s">
        <v>234</v>
      </c>
      <c r="D34" s="96">
        <v>82.91</v>
      </c>
      <c r="E34" s="96">
        <v>439.95</v>
      </c>
      <c r="F34" s="34">
        <f>(D34-E34)/E34</f>
        <v>-0.81154676667803149</v>
      </c>
      <c r="G34" s="93">
        <v>13</v>
      </c>
      <c r="H34" s="92">
        <v>4</v>
      </c>
      <c r="I34" s="92">
        <f t="shared" si="0"/>
        <v>3.25</v>
      </c>
      <c r="J34" s="92">
        <v>4</v>
      </c>
      <c r="K34" s="92">
        <v>2</v>
      </c>
      <c r="L34" s="96">
        <v>1062.57</v>
      </c>
      <c r="M34" s="93">
        <v>208</v>
      </c>
      <c r="N34" s="37">
        <v>45163</v>
      </c>
      <c r="O34" s="59" t="s">
        <v>235</v>
      </c>
      <c r="P34" s="89"/>
    </row>
    <row r="35" spans="1:16" s="43" customFormat="1" ht="24.6" customHeight="1" x14ac:dyDescent="0.2">
      <c r="A35" s="31">
        <v>33</v>
      </c>
      <c r="B35" s="31">
        <v>18</v>
      </c>
      <c r="C35" s="32" t="s">
        <v>130</v>
      </c>
      <c r="D35" s="96">
        <v>79.5</v>
      </c>
      <c r="E35" s="96">
        <v>535.70000000000005</v>
      </c>
      <c r="F35" s="34">
        <f>(D35-E35)/E35</f>
        <v>-0.85159604256113497</v>
      </c>
      <c r="G35" s="93">
        <v>11</v>
      </c>
      <c r="H35" s="92">
        <v>2</v>
      </c>
      <c r="I35" s="92">
        <f t="shared" si="0"/>
        <v>5.5</v>
      </c>
      <c r="J35" s="92">
        <v>1</v>
      </c>
      <c r="K35" s="34" t="s">
        <v>17</v>
      </c>
      <c r="L35" s="96">
        <v>9873.9000000000015</v>
      </c>
      <c r="M35" s="93">
        <v>1514</v>
      </c>
      <c r="N35" s="37">
        <v>45079</v>
      </c>
      <c r="O35" s="59" t="s">
        <v>33</v>
      </c>
      <c r="P35" s="89"/>
    </row>
    <row r="36" spans="1:16" s="43" customFormat="1" ht="24.6" customHeight="1" x14ac:dyDescent="0.2">
      <c r="A36" s="31">
        <v>34</v>
      </c>
      <c r="B36" s="34" t="s">
        <v>17</v>
      </c>
      <c r="C36" s="32" t="s">
        <v>74</v>
      </c>
      <c r="D36" s="96">
        <v>14.8</v>
      </c>
      <c r="E36" s="34" t="s">
        <v>17</v>
      </c>
      <c r="F36" s="34" t="s">
        <v>17</v>
      </c>
      <c r="G36" s="93">
        <v>2</v>
      </c>
      <c r="H36" s="92">
        <v>1</v>
      </c>
      <c r="I36" s="92">
        <f t="shared" si="0"/>
        <v>2</v>
      </c>
      <c r="J36" s="92">
        <v>1</v>
      </c>
      <c r="K36" s="34" t="s">
        <v>17</v>
      </c>
      <c r="L36" s="96">
        <v>46635</v>
      </c>
      <c r="M36" s="93">
        <v>5476</v>
      </c>
      <c r="N36" s="37">
        <v>45012</v>
      </c>
      <c r="O36" s="59" t="s">
        <v>73</v>
      </c>
      <c r="P36" s="87"/>
    </row>
    <row r="37" spans="1:16" s="43" customFormat="1" ht="24.6" customHeight="1" x14ac:dyDescent="0.2">
      <c r="A37" s="31">
        <v>35</v>
      </c>
      <c r="B37" s="34" t="s">
        <v>17</v>
      </c>
      <c r="C37" s="32" t="s">
        <v>241</v>
      </c>
      <c r="D37" s="96">
        <v>5</v>
      </c>
      <c r="E37" s="96" t="s">
        <v>17</v>
      </c>
      <c r="F37" s="34" t="s">
        <v>17</v>
      </c>
      <c r="G37" s="93">
        <v>1</v>
      </c>
      <c r="H37" s="92">
        <v>1</v>
      </c>
      <c r="I37" s="92">
        <f t="shared" si="0"/>
        <v>1</v>
      </c>
      <c r="J37" s="92">
        <v>1</v>
      </c>
      <c r="K37" s="34" t="s">
        <v>17</v>
      </c>
      <c r="L37" s="96">
        <v>253</v>
      </c>
      <c r="M37" s="93">
        <v>41</v>
      </c>
      <c r="N37" s="37">
        <v>45154</v>
      </c>
      <c r="O37" s="59" t="s">
        <v>73</v>
      </c>
      <c r="P37" s="89"/>
    </row>
    <row r="38" spans="1:16" s="51" customFormat="1" ht="24" customHeight="1" x14ac:dyDescent="0.2">
      <c r="B38" s="84"/>
      <c r="C38" s="77" t="s">
        <v>176</v>
      </c>
      <c r="D38" s="52">
        <f>SUBTOTAL(109,Table132456789101112131415171618192021[Pajamos 
(GBO)])</f>
        <v>207337.74999999991</v>
      </c>
      <c r="E38" s="52" t="s">
        <v>248</v>
      </c>
      <c r="F38" s="81">
        <f t="shared" ref="F38" si="1">(D38-E38)/E38</f>
        <v>0.3337991881581735</v>
      </c>
      <c r="G38" s="78">
        <f>SUBTOTAL(109,Table132456789101112131415171618192021[Žiūrovų sk. 
(ADM)])</f>
        <v>33736</v>
      </c>
      <c r="H38" s="70"/>
      <c r="I38" s="70"/>
      <c r="J38" s="70"/>
      <c r="K38" s="70"/>
      <c r="L38" s="52"/>
      <c r="M38" s="78"/>
      <c r="N38" s="53"/>
      <c r="O38" s="79" t="s">
        <v>56</v>
      </c>
      <c r="P38" s="85"/>
    </row>
    <row r="39" spans="1:16" hidden="1" x14ac:dyDescent="0.15">
      <c r="F39" s="4"/>
      <c r="L39" s="3"/>
    </row>
    <row r="40" spans="1:16" hidden="1" x14ac:dyDescent="0.15">
      <c r="F40" s="4"/>
      <c r="L40" s="3"/>
    </row>
    <row r="41" spans="1:16" hidden="1" x14ac:dyDescent="0.15">
      <c r="F41" s="4"/>
      <c r="L41" s="3"/>
    </row>
    <row r="42" spans="1:16" hidden="1" x14ac:dyDescent="0.15">
      <c r="F42" s="4"/>
      <c r="L42" s="3"/>
    </row>
    <row r="43" spans="1:16" hidden="1" x14ac:dyDescent="0.15">
      <c r="F43" s="4"/>
      <c r="L43" s="3"/>
    </row>
    <row r="44" spans="1:16" hidden="1" x14ac:dyDescent="0.15">
      <c r="F44" s="4"/>
      <c r="L44" s="3"/>
    </row>
    <row r="45" spans="1:16" hidden="1" x14ac:dyDescent="0.15">
      <c r="F45" s="4"/>
      <c r="L45" s="3"/>
    </row>
    <row r="46" spans="1:16" hidden="1" x14ac:dyDescent="0.15">
      <c r="F46" s="4"/>
      <c r="L46" s="3"/>
    </row>
    <row r="47" spans="1:16" hidden="1" x14ac:dyDescent="0.15">
      <c r="F47" s="4"/>
      <c r="L47" s="3"/>
    </row>
    <row r="48" spans="1:16" hidden="1" x14ac:dyDescent="0.15">
      <c r="F48" s="4"/>
      <c r="L48" s="3"/>
    </row>
    <row r="49" spans="1:16383" hidden="1" x14ac:dyDescent="0.15">
      <c r="F49" s="4"/>
      <c r="L49" s="3"/>
    </row>
    <row r="50" spans="1:16383" hidden="1" x14ac:dyDescent="0.15">
      <c r="F50" s="4"/>
      <c r="L50" s="3"/>
    </row>
    <row r="51" spans="1:16383" hidden="1" x14ac:dyDescent="0.15">
      <c r="F51" s="4"/>
    </row>
    <row r="52" spans="1:16383" s="44" customFormat="1" hidden="1" x14ac:dyDescent="0.15">
      <c r="A52" s="1"/>
      <c r="B52" s="66"/>
      <c r="C52" s="1"/>
      <c r="D52" s="5"/>
      <c r="E52" s="5"/>
      <c r="F52" s="4"/>
      <c r="K52" s="66"/>
      <c r="L52" s="5"/>
      <c r="N52" s="12"/>
      <c r="O52" s="6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s="44" customFormat="1" hidden="1" x14ac:dyDescent="0.15">
      <c r="A53" s="1"/>
      <c r="B53" s="66"/>
      <c r="C53" s="1"/>
      <c r="D53" s="5"/>
      <c r="E53" s="5"/>
      <c r="F53" s="4"/>
      <c r="K53" s="66"/>
      <c r="L53" s="5"/>
      <c r="N53" s="12"/>
      <c r="O53" s="6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44" customFormat="1" hidden="1" x14ac:dyDescent="0.15">
      <c r="A54" s="1"/>
      <c r="B54" s="66"/>
      <c r="C54" s="1"/>
      <c r="D54" s="5"/>
      <c r="E54" s="5"/>
      <c r="F54" s="4"/>
      <c r="K54" s="66"/>
      <c r="L54" s="5"/>
      <c r="N54" s="12"/>
      <c r="O54" s="6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  <row r="55" spans="1:16383" hidden="1" x14ac:dyDescent="0.15"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6383" hidden="1" x14ac:dyDescent="0.15"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6383" hidden="1" x14ac:dyDescent="0.15"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6383" hidden="1" x14ac:dyDescent="0.15"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6383" hidden="1" x14ac:dyDescent="0.15"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6383" hidden="1" x14ac:dyDescent="0.15"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6383" hidden="1" x14ac:dyDescent="0.15"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6383" hidden="1" x14ac:dyDescent="0.15"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6383" hidden="1" x14ac:dyDescent="0.15"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6383" hidden="1" x14ac:dyDescent="0.15"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4:15" hidden="1" x14ac:dyDescent="0.15">
      <c r="D65" s="1"/>
      <c r="F65" s="1"/>
      <c r="G65" s="1"/>
      <c r="H65" s="1"/>
      <c r="I65" s="1"/>
      <c r="J65" s="1"/>
      <c r="K65" s="1"/>
      <c r="L65" s="1"/>
      <c r="M65" s="1"/>
      <c r="N65" s="1"/>
      <c r="O65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BAAA7-EBA4-45C7-9474-8D95E93C2F15}">
  <dimension ref="A1:XFC64"/>
  <sheetViews>
    <sheetView topLeftCell="A19" zoomScale="60" zoomScaleNormal="60" workbookViewId="0">
      <selection activeCell="C21" sqref="C21"/>
    </sheetView>
  </sheetViews>
  <sheetFormatPr defaultColWidth="18.28515625" defaultRowHeight="11.25" customHeight="1" zeroHeight="1" x14ac:dyDescent="0.15"/>
  <cols>
    <col min="1" max="1" width="4.7109375" style="1" customWidth="1"/>
    <col min="2" max="2" width="4.7109375" style="66" customWidth="1"/>
    <col min="3" max="3" width="31.4257812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230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6">
        <v>1</v>
      </c>
      <c r="C3" s="32" t="s">
        <v>193</v>
      </c>
      <c r="D3" s="96">
        <v>24723.71</v>
      </c>
      <c r="E3" s="33">
        <v>33880.129999999997</v>
      </c>
      <c r="F3" s="34">
        <f>(D3-E3)/E3</f>
        <v>-0.27025929357413914</v>
      </c>
      <c r="G3" s="93">
        <v>3154</v>
      </c>
      <c r="H3" s="92">
        <v>74</v>
      </c>
      <c r="I3" s="92">
        <f>G3/H3</f>
        <v>42.621621621621621</v>
      </c>
      <c r="J3" s="92">
        <v>12</v>
      </c>
      <c r="K3" s="92">
        <v>6</v>
      </c>
      <c r="L3" s="96">
        <v>940164.3</v>
      </c>
      <c r="M3" s="93">
        <v>130223</v>
      </c>
      <c r="N3" s="37">
        <v>45128</v>
      </c>
      <c r="O3" s="59" t="s">
        <v>160</v>
      </c>
      <c r="P3" s="89"/>
    </row>
    <row r="4" spans="1:18" s="39" customFormat="1" ht="24.6" customHeight="1" x14ac:dyDescent="0.2">
      <c r="A4" s="31">
        <v>2</v>
      </c>
      <c r="B4" s="36">
        <v>2</v>
      </c>
      <c r="C4" s="32" t="s">
        <v>189</v>
      </c>
      <c r="D4" s="96">
        <v>23184.78</v>
      </c>
      <c r="E4" s="33">
        <v>26848.06</v>
      </c>
      <c r="F4" s="34">
        <f>(D4-E4)/E4</f>
        <v>-0.13644486789734536</v>
      </c>
      <c r="G4" s="93">
        <v>3280</v>
      </c>
      <c r="H4" s="92">
        <v>101</v>
      </c>
      <c r="I4" s="92">
        <f>G4/H4</f>
        <v>32.475247524752476</v>
      </c>
      <c r="J4" s="92">
        <v>11</v>
      </c>
      <c r="K4" s="92">
        <v>6</v>
      </c>
      <c r="L4" s="96">
        <v>1067384.06</v>
      </c>
      <c r="M4" s="93">
        <v>160694</v>
      </c>
      <c r="N4" s="37">
        <v>45128</v>
      </c>
      <c r="O4" s="59" t="s">
        <v>21</v>
      </c>
      <c r="P4" s="89"/>
    </row>
    <row r="5" spans="1:18" s="39" customFormat="1" ht="24.6" customHeight="1" x14ac:dyDescent="0.2">
      <c r="A5" s="31">
        <v>3</v>
      </c>
      <c r="B5" s="36" t="s">
        <v>15</v>
      </c>
      <c r="C5" s="32" t="s">
        <v>236</v>
      </c>
      <c r="D5" s="96">
        <v>17876.04</v>
      </c>
      <c r="E5" s="33" t="s">
        <v>17</v>
      </c>
      <c r="F5" s="34" t="s">
        <v>17</v>
      </c>
      <c r="G5" s="93">
        <v>3416</v>
      </c>
      <c r="H5" s="92">
        <v>105</v>
      </c>
      <c r="I5" s="92">
        <f>G5/H5</f>
        <v>32.533333333333331</v>
      </c>
      <c r="J5" s="92">
        <v>18</v>
      </c>
      <c r="K5" s="92">
        <v>1</v>
      </c>
      <c r="L5" s="96">
        <v>17876.04</v>
      </c>
      <c r="M5" s="93">
        <v>3416</v>
      </c>
      <c r="N5" s="37">
        <v>45163</v>
      </c>
      <c r="O5" s="59" t="s">
        <v>33</v>
      </c>
      <c r="P5" s="87"/>
      <c r="R5" s="31"/>
    </row>
    <row r="6" spans="1:18" s="39" customFormat="1" ht="24.95" customHeight="1" x14ac:dyDescent="0.2">
      <c r="A6" s="31">
        <v>4</v>
      </c>
      <c r="B6" s="36" t="s">
        <v>15</v>
      </c>
      <c r="C6" s="32" t="s">
        <v>233</v>
      </c>
      <c r="D6" s="96">
        <v>17492</v>
      </c>
      <c r="E6" s="33" t="s">
        <v>17</v>
      </c>
      <c r="F6" s="34" t="s">
        <v>17</v>
      </c>
      <c r="G6" s="93">
        <v>2441</v>
      </c>
      <c r="H6" s="92" t="s">
        <v>17</v>
      </c>
      <c r="I6" s="92" t="s">
        <v>17</v>
      </c>
      <c r="J6" s="92">
        <v>14</v>
      </c>
      <c r="K6" s="92">
        <v>1</v>
      </c>
      <c r="L6" s="96">
        <v>17492</v>
      </c>
      <c r="M6" s="93">
        <v>2441</v>
      </c>
      <c r="N6" s="37">
        <v>45163</v>
      </c>
      <c r="O6" s="59" t="s">
        <v>28</v>
      </c>
      <c r="P6" s="89"/>
      <c r="R6" s="31"/>
    </row>
    <row r="7" spans="1:18" s="39" customFormat="1" ht="24.6" customHeight="1" x14ac:dyDescent="0.2">
      <c r="A7" s="31">
        <v>5</v>
      </c>
      <c r="B7" s="36">
        <v>3</v>
      </c>
      <c r="C7" s="32" t="s">
        <v>216</v>
      </c>
      <c r="D7" s="96">
        <v>16213.37</v>
      </c>
      <c r="E7" s="33">
        <v>21315.27</v>
      </c>
      <c r="F7" s="34">
        <f>(D7-E7)/E7</f>
        <v>-0.23935422821291963</v>
      </c>
      <c r="G7" s="93">
        <v>2337</v>
      </c>
      <c r="H7" s="92">
        <v>60</v>
      </c>
      <c r="I7" s="92">
        <f t="shared" ref="I7:I22" si="0">G7/H7</f>
        <v>38.950000000000003</v>
      </c>
      <c r="J7" s="92">
        <v>9</v>
      </c>
      <c r="K7" s="92">
        <v>3</v>
      </c>
      <c r="L7" s="96">
        <v>142802.44</v>
      </c>
      <c r="M7" s="93">
        <v>21615</v>
      </c>
      <c r="N7" s="37">
        <v>45149</v>
      </c>
      <c r="O7" s="59" t="s">
        <v>23</v>
      </c>
      <c r="P7" s="89"/>
      <c r="R7" s="31"/>
    </row>
    <row r="8" spans="1:18" s="39" customFormat="1" ht="24.95" customHeight="1" x14ac:dyDescent="0.2">
      <c r="A8" s="31">
        <v>6</v>
      </c>
      <c r="B8" s="36">
        <v>4</v>
      </c>
      <c r="C8" s="32" t="s">
        <v>209</v>
      </c>
      <c r="D8" s="97">
        <v>9870.4500000000007</v>
      </c>
      <c r="E8" s="45">
        <v>12368.85</v>
      </c>
      <c r="F8" s="34">
        <f>(D8-E8)/E8</f>
        <v>-0.20199129264240406</v>
      </c>
      <c r="G8" s="94">
        <v>1456</v>
      </c>
      <c r="H8" s="92">
        <v>41</v>
      </c>
      <c r="I8" s="92">
        <f t="shared" si="0"/>
        <v>35.512195121951223</v>
      </c>
      <c r="J8" s="92">
        <v>9</v>
      </c>
      <c r="K8" s="92">
        <v>4</v>
      </c>
      <c r="L8" s="97">
        <v>156288.35999999999</v>
      </c>
      <c r="M8" s="94">
        <v>24602</v>
      </c>
      <c r="N8" s="37">
        <v>45142</v>
      </c>
      <c r="O8" s="59" t="s">
        <v>21</v>
      </c>
      <c r="P8" s="89"/>
      <c r="R8" s="31"/>
    </row>
    <row r="9" spans="1:18" s="39" customFormat="1" ht="24.95" customHeight="1" x14ac:dyDescent="0.2">
      <c r="A9" s="31">
        <v>7</v>
      </c>
      <c r="B9" s="36" t="s">
        <v>15</v>
      </c>
      <c r="C9" s="32" t="s">
        <v>237</v>
      </c>
      <c r="D9" s="96">
        <v>8311.9699999999993</v>
      </c>
      <c r="E9" s="33" t="s">
        <v>17</v>
      </c>
      <c r="F9" s="34" t="s">
        <v>17</v>
      </c>
      <c r="G9" s="93">
        <v>1195</v>
      </c>
      <c r="H9" s="92">
        <v>61</v>
      </c>
      <c r="I9" s="92">
        <f t="shared" si="0"/>
        <v>19.590163934426229</v>
      </c>
      <c r="J9" s="92">
        <v>13</v>
      </c>
      <c r="K9" s="92">
        <v>1</v>
      </c>
      <c r="L9" s="96">
        <v>9725.08</v>
      </c>
      <c r="M9" s="93">
        <v>1423</v>
      </c>
      <c r="N9" s="37">
        <v>45163</v>
      </c>
      <c r="O9" s="59" t="s">
        <v>25</v>
      </c>
      <c r="P9" s="87"/>
      <c r="R9" s="31"/>
    </row>
    <row r="10" spans="1:18" s="39" customFormat="1" ht="24.95" customHeight="1" x14ac:dyDescent="0.2">
      <c r="A10" s="31">
        <v>8</v>
      </c>
      <c r="B10" s="36">
        <v>7</v>
      </c>
      <c r="C10" s="32" t="s">
        <v>154</v>
      </c>
      <c r="D10" s="96">
        <v>6606.03</v>
      </c>
      <c r="E10" s="33">
        <v>7293.61</v>
      </c>
      <c r="F10" s="34">
        <f>(D10-E10)/E10</f>
        <v>-9.4271560996543546E-2</v>
      </c>
      <c r="G10" s="93">
        <v>1217</v>
      </c>
      <c r="H10" s="92">
        <v>29</v>
      </c>
      <c r="I10" s="92">
        <f t="shared" si="0"/>
        <v>41.96551724137931</v>
      </c>
      <c r="J10" s="92">
        <v>8</v>
      </c>
      <c r="K10" s="92">
        <v>11</v>
      </c>
      <c r="L10" s="96">
        <v>457986.06</v>
      </c>
      <c r="M10" s="93">
        <v>90557</v>
      </c>
      <c r="N10" s="37">
        <v>45093</v>
      </c>
      <c r="O10" s="59" t="s">
        <v>49</v>
      </c>
      <c r="P10" s="67"/>
      <c r="R10" s="31"/>
    </row>
    <row r="11" spans="1:18" s="39" customFormat="1" ht="24.95" customHeight="1" x14ac:dyDescent="0.2">
      <c r="A11" s="31">
        <v>9</v>
      </c>
      <c r="B11" s="36">
        <v>8</v>
      </c>
      <c r="C11" s="32" t="s">
        <v>227</v>
      </c>
      <c r="D11" s="96">
        <v>5264.94</v>
      </c>
      <c r="E11" s="33">
        <v>5200.7</v>
      </c>
      <c r="F11" s="34">
        <f>(D11-E11)/E11</f>
        <v>1.2352183359932276E-2</v>
      </c>
      <c r="G11" s="93">
        <v>865</v>
      </c>
      <c r="H11" s="92">
        <v>13</v>
      </c>
      <c r="I11" s="92">
        <f t="shared" si="0"/>
        <v>66.538461538461533</v>
      </c>
      <c r="J11" s="92">
        <v>6</v>
      </c>
      <c r="K11" s="92">
        <v>2</v>
      </c>
      <c r="L11" s="96">
        <v>18060.009999999998</v>
      </c>
      <c r="M11" s="93">
        <v>3015</v>
      </c>
      <c r="N11" s="37">
        <v>45156</v>
      </c>
      <c r="O11" s="59" t="s">
        <v>219</v>
      </c>
      <c r="P11" s="89"/>
      <c r="R11" s="31"/>
    </row>
    <row r="12" spans="1:18" s="43" customFormat="1" ht="24.6" customHeight="1" x14ac:dyDescent="0.2">
      <c r="A12" s="31">
        <v>10</v>
      </c>
      <c r="B12" s="36">
        <v>5</v>
      </c>
      <c r="C12" s="32" t="s">
        <v>224</v>
      </c>
      <c r="D12" s="33">
        <v>4824.1099999999997</v>
      </c>
      <c r="E12" s="33">
        <v>12077.81</v>
      </c>
      <c r="F12" s="34">
        <f>(D12-E12)/E12</f>
        <v>-0.60058073442122373</v>
      </c>
      <c r="G12" s="35">
        <v>763</v>
      </c>
      <c r="H12" s="36">
        <v>41</v>
      </c>
      <c r="I12" s="92">
        <f t="shared" si="0"/>
        <v>18.609756097560975</v>
      </c>
      <c r="J12" s="36">
        <v>9</v>
      </c>
      <c r="K12" s="36">
        <v>2</v>
      </c>
      <c r="L12" s="33">
        <v>29752.84</v>
      </c>
      <c r="M12" s="93">
        <v>4561</v>
      </c>
      <c r="N12" s="37">
        <v>45156</v>
      </c>
      <c r="O12" s="67" t="s">
        <v>21</v>
      </c>
      <c r="P12" s="89"/>
    </row>
    <row r="13" spans="1:18" s="43" customFormat="1" ht="24.6" customHeight="1" x14ac:dyDescent="0.2">
      <c r="A13" s="31">
        <v>11</v>
      </c>
      <c r="B13" s="36" t="s">
        <v>15</v>
      </c>
      <c r="C13" s="32" t="s">
        <v>238</v>
      </c>
      <c r="D13" s="96">
        <v>4122.95</v>
      </c>
      <c r="E13" s="33" t="s">
        <v>17</v>
      </c>
      <c r="F13" s="34" t="s">
        <v>17</v>
      </c>
      <c r="G13" s="93">
        <v>635</v>
      </c>
      <c r="H13" s="92">
        <v>55</v>
      </c>
      <c r="I13" s="92">
        <f t="shared" si="0"/>
        <v>11.545454545454545</v>
      </c>
      <c r="J13" s="92">
        <v>13</v>
      </c>
      <c r="K13" s="92">
        <v>1</v>
      </c>
      <c r="L13" s="96">
        <v>5864.01</v>
      </c>
      <c r="M13" s="93">
        <v>882</v>
      </c>
      <c r="N13" s="37">
        <v>45163</v>
      </c>
      <c r="O13" s="59" t="s">
        <v>25</v>
      </c>
      <c r="P13" s="87"/>
    </row>
    <row r="14" spans="1:18" s="43" customFormat="1" ht="24.6" customHeight="1" x14ac:dyDescent="0.2">
      <c r="A14" s="31">
        <v>12</v>
      </c>
      <c r="B14" s="36">
        <v>6</v>
      </c>
      <c r="C14" s="32" t="s">
        <v>225</v>
      </c>
      <c r="D14" s="96">
        <v>3185.13</v>
      </c>
      <c r="E14" s="33">
        <v>8630.7000000000007</v>
      </c>
      <c r="F14" s="34">
        <f>(D14-E14)/E14</f>
        <v>-0.63095345684591053</v>
      </c>
      <c r="G14" s="93">
        <v>453</v>
      </c>
      <c r="H14" s="92">
        <v>34</v>
      </c>
      <c r="I14" s="92">
        <f t="shared" si="0"/>
        <v>13.323529411764707</v>
      </c>
      <c r="J14" s="92">
        <v>9</v>
      </c>
      <c r="K14" s="92">
        <v>2</v>
      </c>
      <c r="L14" s="96">
        <v>20661.79</v>
      </c>
      <c r="M14" s="93">
        <v>3077</v>
      </c>
      <c r="N14" s="37">
        <v>45156</v>
      </c>
      <c r="O14" s="59" t="s">
        <v>25</v>
      </c>
      <c r="P14" s="89"/>
    </row>
    <row r="15" spans="1:18" s="43" customFormat="1" ht="24.6" customHeight="1" x14ac:dyDescent="0.2">
      <c r="A15" s="31">
        <v>13</v>
      </c>
      <c r="B15" s="36">
        <v>10</v>
      </c>
      <c r="C15" s="32" t="s">
        <v>210</v>
      </c>
      <c r="D15" s="97">
        <v>3139.6</v>
      </c>
      <c r="E15" s="45">
        <v>4346.47</v>
      </c>
      <c r="F15" s="34">
        <f>(D15-E15)/E15</f>
        <v>-0.27766670424505407</v>
      </c>
      <c r="G15" s="94">
        <v>572</v>
      </c>
      <c r="H15" s="92">
        <v>27</v>
      </c>
      <c r="I15" s="92">
        <f t="shared" si="0"/>
        <v>21.185185185185187</v>
      </c>
      <c r="J15" s="92">
        <v>8</v>
      </c>
      <c r="K15" s="92">
        <v>4</v>
      </c>
      <c r="L15" s="97">
        <v>66098.37</v>
      </c>
      <c r="M15" s="94">
        <v>12971</v>
      </c>
      <c r="N15" s="37">
        <v>45142</v>
      </c>
      <c r="O15" s="59" t="s">
        <v>159</v>
      </c>
      <c r="P15" s="89"/>
    </row>
    <row r="16" spans="1:18" s="43" customFormat="1" ht="24.6" customHeight="1" x14ac:dyDescent="0.2">
      <c r="A16" s="31">
        <v>14</v>
      </c>
      <c r="B16" s="36">
        <v>11</v>
      </c>
      <c r="C16" s="32" t="s">
        <v>184</v>
      </c>
      <c r="D16" s="96">
        <v>2415.0700000000002</v>
      </c>
      <c r="E16" s="33">
        <v>3523.69</v>
      </c>
      <c r="F16" s="34">
        <f>(D16-E16)/E16</f>
        <v>-0.31461904991642281</v>
      </c>
      <c r="G16" s="93">
        <v>489</v>
      </c>
      <c r="H16" s="92">
        <v>21</v>
      </c>
      <c r="I16" s="92">
        <f t="shared" si="0"/>
        <v>23.285714285714285</v>
      </c>
      <c r="J16" s="92">
        <v>6</v>
      </c>
      <c r="K16" s="92">
        <v>7</v>
      </c>
      <c r="L16" s="96">
        <v>196871.26</v>
      </c>
      <c r="M16" s="93">
        <v>39662</v>
      </c>
      <c r="N16" s="37">
        <v>45121</v>
      </c>
      <c r="O16" s="59" t="s">
        <v>25</v>
      </c>
      <c r="P16" s="89"/>
    </row>
    <row r="17" spans="1:16" s="43" customFormat="1" ht="24.6" customHeight="1" x14ac:dyDescent="0.2">
      <c r="A17" s="31">
        <v>15</v>
      </c>
      <c r="B17" s="36">
        <v>12</v>
      </c>
      <c r="C17" s="32" t="s">
        <v>186</v>
      </c>
      <c r="D17" s="96">
        <v>1899.76</v>
      </c>
      <c r="E17" s="33">
        <v>2893.09</v>
      </c>
      <c r="F17" s="34">
        <f>(D17-E17)/E17</f>
        <v>-0.34334569612421323</v>
      </c>
      <c r="G17" s="93">
        <v>259</v>
      </c>
      <c r="H17" s="92">
        <v>9</v>
      </c>
      <c r="I17" s="92">
        <f t="shared" si="0"/>
        <v>28.777777777777779</v>
      </c>
      <c r="J17" s="92">
        <v>3</v>
      </c>
      <c r="K17" s="92">
        <v>7</v>
      </c>
      <c r="L17" s="96">
        <v>191844.62</v>
      </c>
      <c r="M17" s="93">
        <v>27883</v>
      </c>
      <c r="N17" s="37">
        <v>45121</v>
      </c>
      <c r="O17" s="59" t="s">
        <v>159</v>
      </c>
      <c r="P17" s="89"/>
    </row>
    <row r="18" spans="1:16" s="43" customFormat="1" ht="24.6" customHeight="1" x14ac:dyDescent="0.2">
      <c r="A18" s="31">
        <v>16</v>
      </c>
      <c r="B18" s="36">
        <v>9</v>
      </c>
      <c r="C18" s="32" t="s">
        <v>226</v>
      </c>
      <c r="D18" s="33">
        <v>1723.65</v>
      </c>
      <c r="E18" s="33">
        <v>4671.9399999999996</v>
      </c>
      <c r="F18" s="34">
        <f>(D18-E18)/E18</f>
        <v>-0.63106332701190504</v>
      </c>
      <c r="G18" s="35">
        <v>337</v>
      </c>
      <c r="H18" s="36">
        <v>28</v>
      </c>
      <c r="I18" s="92">
        <f t="shared" si="0"/>
        <v>12.035714285714286</v>
      </c>
      <c r="J18" s="36">
        <v>9</v>
      </c>
      <c r="K18" s="36">
        <v>2</v>
      </c>
      <c r="L18" s="33">
        <v>11397.05</v>
      </c>
      <c r="M18" s="93">
        <v>2334</v>
      </c>
      <c r="N18" s="37">
        <v>45156</v>
      </c>
      <c r="O18" s="67" t="s">
        <v>25</v>
      </c>
      <c r="P18" s="89"/>
    </row>
    <row r="19" spans="1:16" s="43" customFormat="1" ht="24.6" customHeight="1" x14ac:dyDescent="0.2">
      <c r="A19" s="31">
        <v>17</v>
      </c>
      <c r="B19" s="33" t="s">
        <v>17</v>
      </c>
      <c r="C19" s="32" t="s">
        <v>78</v>
      </c>
      <c r="D19" s="96">
        <v>552</v>
      </c>
      <c r="E19" s="33" t="s">
        <v>17</v>
      </c>
      <c r="F19" s="34" t="s">
        <v>17</v>
      </c>
      <c r="G19" s="93">
        <v>81</v>
      </c>
      <c r="H19" s="92">
        <v>1</v>
      </c>
      <c r="I19" s="92">
        <f t="shared" si="0"/>
        <v>81</v>
      </c>
      <c r="J19" s="92">
        <v>1</v>
      </c>
      <c r="K19" s="34" t="s">
        <v>17</v>
      </c>
      <c r="L19" s="96">
        <v>11931</v>
      </c>
      <c r="M19" s="93">
        <v>2120</v>
      </c>
      <c r="N19" s="37">
        <v>45012</v>
      </c>
      <c r="O19" s="59" t="s">
        <v>73</v>
      </c>
      <c r="P19" s="89"/>
    </row>
    <row r="20" spans="1:16" s="43" customFormat="1" ht="24.6" customHeight="1" x14ac:dyDescent="0.2">
      <c r="A20" s="31">
        <v>18</v>
      </c>
      <c r="B20" s="36">
        <v>25</v>
      </c>
      <c r="C20" s="32" t="s">
        <v>130</v>
      </c>
      <c r="D20" s="96">
        <v>535.70000000000005</v>
      </c>
      <c r="E20" s="33">
        <v>79.7</v>
      </c>
      <c r="F20" s="34">
        <f>(D20-E20)/E20</f>
        <v>5.7214554579673784</v>
      </c>
      <c r="G20" s="93">
        <v>77</v>
      </c>
      <c r="H20" s="92">
        <v>3</v>
      </c>
      <c r="I20" s="92">
        <f t="shared" si="0"/>
        <v>25.666666666666668</v>
      </c>
      <c r="J20" s="92">
        <v>3</v>
      </c>
      <c r="K20" s="92" t="s">
        <v>17</v>
      </c>
      <c r="L20" s="96">
        <v>9773.9000000000015</v>
      </c>
      <c r="M20" s="93">
        <v>1498</v>
      </c>
      <c r="N20" s="37">
        <v>45079</v>
      </c>
      <c r="O20" s="59" t="s">
        <v>33</v>
      </c>
      <c r="P20" s="89"/>
    </row>
    <row r="21" spans="1:16" s="43" customFormat="1" ht="24.6" customHeight="1" x14ac:dyDescent="0.2">
      <c r="A21" s="31">
        <v>19</v>
      </c>
      <c r="B21" s="36" t="s">
        <v>15</v>
      </c>
      <c r="C21" s="32" t="s">
        <v>234</v>
      </c>
      <c r="D21" s="96">
        <v>439.95</v>
      </c>
      <c r="E21" s="33" t="s">
        <v>17</v>
      </c>
      <c r="F21" s="34" t="s">
        <v>17</v>
      </c>
      <c r="G21" s="93">
        <v>69</v>
      </c>
      <c r="H21" s="92">
        <v>18</v>
      </c>
      <c r="I21" s="92">
        <f t="shared" si="0"/>
        <v>3.8333333333333335</v>
      </c>
      <c r="J21" s="92">
        <v>10</v>
      </c>
      <c r="K21" s="92">
        <v>1</v>
      </c>
      <c r="L21" s="96">
        <v>439.95</v>
      </c>
      <c r="M21" s="93">
        <v>69</v>
      </c>
      <c r="N21" s="37">
        <v>45163</v>
      </c>
      <c r="O21" s="59" t="s">
        <v>235</v>
      </c>
      <c r="P21" s="89"/>
    </row>
    <row r="22" spans="1:16" s="43" customFormat="1" ht="24.6" customHeight="1" x14ac:dyDescent="0.15">
      <c r="A22" s="31">
        <v>20</v>
      </c>
      <c r="B22" s="36">
        <v>24</v>
      </c>
      <c r="C22" s="41" t="s">
        <v>145</v>
      </c>
      <c r="D22" s="33">
        <v>407.3</v>
      </c>
      <c r="E22" s="33">
        <v>147.80000000000001</v>
      </c>
      <c r="F22" s="34">
        <f>(D22-E22)/E22</f>
        <v>1.7557510148849795</v>
      </c>
      <c r="G22" s="35">
        <v>72</v>
      </c>
      <c r="H22" s="36">
        <v>4</v>
      </c>
      <c r="I22" s="36">
        <f t="shared" si="0"/>
        <v>18</v>
      </c>
      <c r="J22" s="35">
        <v>3</v>
      </c>
      <c r="K22" s="36">
        <v>12</v>
      </c>
      <c r="L22" s="33">
        <v>57242.879999999997</v>
      </c>
      <c r="M22" s="35">
        <v>9224</v>
      </c>
      <c r="N22" s="37">
        <v>45086</v>
      </c>
      <c r="O22" s="59" t="s">
        <v>160</v>
      </c>
      <c r="P22" s="67"/>
    </row>
    <row r="23" spans="1:16" s="43" customFormat="1" ht="24.6" customHeight="1" x14ac:dyDescent="0.2">
      <c r="A23" s="31">
        <v>21</v>
      </c>
      <c r="B23" s="36">
        <v>13</v>
      </c>
      <c r="C23" s="32" t="s">
        <v>217</v>
      </c>
      <c r="D23" s="96">
        <v>399</v>
      </c>
      <c r="E23" s="33">
        <v>2699</v>
      </c>
      <c r="F23" s="34">
        <f>(D23-E23)/E23</f>
        <v>-0.85216746943312338</v>
      </c>
      <c r="G23" s="93">
        <v>77</v>
      </c>
      <c r="H23" s="34" t="s">
        <v>17</v>
      </c>
      <c r="I23" s="34" t="s">
        <v>17</v>
      </c>
      <c r="J23" s="92">
        <v>4</v>
      </c>
      <c r="K23" s="92">
        <v>3</v>
      </c>
      <c r="L23" s="96">
        <v>11697</v>
      </c>
      <c r="M23" s="93">
        <v>2498</v>
      </c>
      <c r="N23" s="37">
        <v>45149</v>
      </c>
      <c r="O23" s="59" t="s">
        <v>67</v>
      </c>
      <c r="P23" s="89"/>
    </row>
    <row r="24" spans="1:16" s="43" customFormat="1" ht="24.6" customHeight="1" x14ac:dyDescent="0.2">
      <c r="A24" s="31">
        <v>22</v>
      </c>
      <c r="B24" s="36" t="s">
        <v>15</v>
      </c>
      <c r="C24" s="32" t="s">
        <v>232</v>
      </c>
      <c r="D24" s="96">
        <v>383.2</v>
      </c>
      <c r="E24" s="33" t="s">
        <v>17</v>
      </c>
      <c r="F24" s="34" t="s">
        <v>17</v>
      </c>
      <c r="G24" s="93">
        <v>67</v>
      </c>
      <c r="H24" s="92">
        <v>6</v>
      </c>
      <c r="I24" s="92">
        <f t="shared" ref="I24:I30" si="1">G24/H24</f>
        <v>11.166666666666666</v>
      </c>
      <c r="J24" s="92">
        <v>3</v>
      </c>
      <c r="K24" s="92">
        <v>2</v>
      </c>
      <c r="L24" s="96">
        <v>2127.1</v>
      </c>
      <c r="M24" s="93">
        <v>329</v>
      </c>
      <c r="N24" s="37">
        <v>45156</v>
      </c>
      <c r="O24" s="59" t="s">
        <v>30</v>
      </c>
      <c r="P24" s="89"/>
    </row>
    <row r="25" spans="1:16" s="43" customFormat="1" ht="24.6" customHeight="1" x14ac:dyDescent="0.2">
      <c r="A25" s="31">
        <v>23</v>
      </c>
      <c r="B25" s="33" t="s">
        <v>17</v>
      </c>
      <c r="C25" s="32" t="s">
        <v>61</v>
      </c>
      <c r="D25" s="96">
        <v>318</v>
      </c>
      <c r="E25" s="33" t="s">
        <v>17</v>
      </c>
      <c r="F25" s="34" t="s">
        <v>17</v>
      </c>
      <c r="G25" s="93">
        <v>61</v>
      </c>
      <c r="H25" s="92">
        <v>2</v>
      </c>
      <c r="I25" s="92">
        <f t="shared" si="1"/>
        <v>30.5</v>
      </c>
      <c r="J25" s="92">
        <v>2</v>
      </c>
      <c r="K25" s="34" t="s">
        <v>17</v>
      </c>
      <c r="L25" s="96">
        <v>11354.470000000003</v>
      </c>
      <c r="M25" s="93">
        <v>1870</v>
      </c>
      <c r="N25" s="37">
        <v>45044</v>
      </c>
      <c r="O25" s="59" t="s">
        <v>33</v>
      </c>
      <c r="P25" s="89"/>
    </row>
    <row r="26" spans="1:16" s="43" customFormat="1" ht="24.6" customHeight="1" x14ac:dyDescent="0.2">
      <c r="A26" s="31">
        <v>24</v>
      </c>
      <c r="B26" s="36">
        <v>18</v>
      </c>
      <c r="C26" s="32" t="s">
        <v>175</v>
      </c>
      <c r="D26" s="97">
        <v>217.4</v>
      </c>
      <c r="E26" s="45">
        <v>285.23</v>
      </c>
      <c r="F26" s="34">
        <f>(D26-E26)/E26</f>
        <v>-0.23780808470357259</v>
      </c>
      <c r="G26" s="94">
        <v>38</v>
      </c>
      <c r="H26" s="92">
        <v>4</v>
      </c>
      <c r="I26" s="92">
        <f t="shared" si="1"/>
        <v>9.5</v>
      </c>
      <c r="J26" s="92">
        <v>2</v>
      </c>
      <c r="K26" s="92">
        <v>9</v>
      </c>
      <c r="L26" s="97">
        <v>94995.24</v>
      </c>
      <c r="M26" s="94">
        <v>20376</v>
      </c>
      <c r="N26" s="37">
        <v>45107</v>
      </c>
      <c r="O26" s="59" t="s">
        <v>160</v>
      </c>
      <c r="P26" s="89"/>
    </row>
    <row r="27" spans="1:16" s="43" customFormat="1" ht="24.6" customHeight="1" x14ac:dyDescent="0.2">
      <c r="A27" s="31">
        <v>25</v>
      </c>
      <c r="B27" s="36">
        <v>21</v>
      </c>
      <c r="C27" s="32" t="s">
        <v>228</v>
      </c>
      <c r="D27" s="96">
        <v>205</v>
      </c>
      <c r="E27" s="33">
        <v>220</v>
      </c>
      <c r="F27" s="34">
        <f>(D27-E27)/E27</f>
        <v>-6.8181818181818177E-2</v>
      </c>
      <c r="G27" s="93">
        <v>82</v>
      </c>
      <c r="H27" s="92">
        <v>6</v>
      </c>
      <c r="I27" s="92">
        <f t="shared" si="1"/>
        <v>13.666666666666666</v>
      </c>
      <c r="J27" s="92">
        <v>2</v>
      </c>
      <c r="K27" s="34" t="s">
        <v>17</v>
      </c>
      <c r="L27" s="96">
        <v>140268.35</v>
      </c>
      <c r="M27" s="93">
        <v>27491</v>
      </c>
      <c r="N27" s="37">
        <v>44890</v>
      </c>
      <c r="O27" s="59" t="s">
        <v>219</v>
      </c>
      <c r="P27" s="89"/>
    </row>
    <row r="28" spans="1:16" s="43" customFormat="1" ht="24.6" customHeight="1" x14ac:dyDescent="0.2">
      <c r="A28" s="31">
        <v>26</v>
      </c>
      <c r="B28" s="36">
        <v>14</v>
      </c>
      <c r="C28" s="32" t="s">
        <v>218</v>
      </c>
      <c r="D28" s="96">
        <v>202.87</v>
      </c>
      <c r="E28" s="33">
        <v>1346.78</v>
      </c>
      <c r="F28" s="34">
        <f>(D28-E28)/E28</f>
        <v>-0.84936663746120367</v>
      </c>
      <c r="G28" s="93">
        <v>40</v>
      </c>
      <c r="H28" s="92">
        <v>4</v>
      </c>
      <c r="I28" s="92">
        <f t="shared" si="1"/>
        <v>10</v>
      </c>
      <c r="J28" s="92">
        <v>3</v>
      </c>
      <c r="K28" s="92">
        <v>3</v>
      </c>
      <c r="L28" s="96">
        <v>12374.89</v>
      </c>
      <c r="M28" s="93">
        <v>2573</v>
      </c>
      <c r="N28" s="37">
        <v>45149</v>
      </c>
      <c r="O28" s="59" t="s">
        <v>219</v>
      </c>
      <c r="P28" s="89"/>
    </row>
    <row r="29" spans="1:16" s="43" customFormat="1" ht="24.6" customHeight="1" x14ac:dyDescent="0.2">
      <c r="A29" s="31">
        <v>27</v>
      </c>
      <c r="B29" s="36">
        <v>16</v>
      </c>
      <c r="C29" s="32" t="s">
        <v>223</v>
      </c>
      <c r="D29" s="96">
        <v>198</v>
      </c>
      <c r="E29" s="33">
        <v>582.70000000000005</v>
      </c>
      <c r="F29" s="34">
        <f>(D29-E29)/E29</f>
        <v>-0.66020250557748417</v>
      </c>
      <c r="G29" s="93">
        <v>33</v>
      </c>
      <c r="H29" s="92">
        <v>4</v>
      </c>
      <c r="I29" s="92">
        <f t="shared" si="1"/>
        <v>8.25</v>
      </c>
      <c r="J29" s="92">
        <v>3</v>
      </c>
      <c r="K29" s="92">
        <v>2</v>
      </c>
      <c r="L29" s="96">
        <v>1206</v>
      </c>
      <c r="M29" s="93">
        <v>226</v>
      </c>
      <c r="N29" s="37">
        <v>45156</v>
      </c>
      <c r="O29" s="59" t="s">
        <v>73</v>
      </c>
      <c r="P29" s="89"/>
    </row>
    <row r="30" spans="1:16" s="43" customFormat="1" ht="24.6" customHeight="1" x14ac:dyDescent="0.2">
      <c r="A30" s="31">
        <v>28</v>
      </c>
      <c r="B30" s="33" t="s">
        <v>17</v>
      </c>
      <c r="C30" s="32" t="s">
        <v>152</v>
      </c>
      <c r="D30" s="96">
        <v>151.5</v>
      </c>
      <c r="E30" s="33" t="s">
        <v>17</v>
      </c>
      <c r="F30" s="34" t="s">
        <v>17</v>
      </c>
      <c r="G30" s="93">
        <v>67</v>
      </c>
      <c r="H30" s="92">
        <v>6</v>
      </c>
      <c r="I30" s="92">
        <f t="shared" si="1"/>
        <v>11.166666666666666</v>
      </c>
      <c r="J30" s="92">
        <v>2</v>
      </c>
      <c r="K30" s="34" t="s">
        <v>17</v>
      </c>
      <c r="L30" s="96">
        <v>102315.33</v>
      </c>
      <c r="M30" s="93">
        <v>21794</v>
      </c>
      <c r="N30" s="37">
        <v>44603</v>
      </c>
      <c r="O30" s="59" t="s">
        <v>25</v>
      </c>
      <c r="P30" s="87"/>
    </row>
    <row r="31" spans="1:16" s="43" customFormat="1" ht="24.6" customHeight="1" x14ac:dyDescent="0.2">
      <c r="A31" s="31">
        <v>29</v>
      </c>
      <c r="B31" s="36">
        <v>22</v>
      </c>
      <c r="C31" s="32" t="s">
        <v>197</v>
      </c>
      <c r="D31" s="96">
        <v>147</v>
      </c>
      <c r="E31" s="33">
        <v>165</v>
      </c>
      <c r="F31" s="34">
        <f>(D31-E31)/E31</f>
        <v>-0.10909090909090909</v>
      </c>
      <c r="G31" s="93">
        <v>43</v>
      </c>
      <c r="H31" s="92" t="s">
        <v>17</v>
      </c>
      <c r="I31" s="92" t="s">
        <v>17</v>
      </c>
      <c r="J31" s="92">
        <v>3</v>
      </c>
      <c r="K31" s="92">
        <v>6</v>
      </c>
      <c r="L31" s="96">
        <v>48069</v>
      </c>
      <c r="M31" s="93">
        <v>10413</v>
      </c>
      <c r="N31" s="37">
        <v>45128</v>
      </c>
      <c r="O31" s="59" t="s">
        <v>28</v>
      </c>
      <c r="P31" s="89"/>
    </row>
    <row r="32" spans="1:16" s="43" customFormat="1" ht="24.6" customHeight="1" x14ac:dyDescent="0.2">
      <c r="A32" s="31">
        <v>30</v>
      </c>
      <c r="B32" s="36">
        <v>19</v>
      </c>
      <c r="C32" s="32" t="s">
        <v>45</v>
      </c>
      <c r="D32" s="96">
        <v>124.5</v>
      </c>
      <c r="E32" s="33">
        <v>275</v>
      </c>
      <c r="F32" s="34">
        <f>(D32-E32)/E32</f>
        <v>-0.54727272727272724</v>
      </c>
      <c r="G32" s="93">
        <v>48</v>
      </c>
      <c r="H32" s="92">
        <v>4</v>
      </c>
      <c r="I32" s="92">
        <f>G32/H32</f>
        <v>12</v>
      </c>
      <c r="J32" s="92">
        <v>2</v>
      </c>
      <c r="K32" s="92" t="s">
        <v>17</v>
      </c>
      <c r="L32" s="96">
        <v>1046858.39</v>
      </c>
      <c r="M32" s="93">
        <v>195188</v>
      </c>
      <c r="N32" s="37">
        <v>44916</v>
      </c>
      <c r="O32" s="59" t="s">
        <v>160</v>
      </c>
      <c r="P32" s="89"/>
    </row>
    <row r="33" spans="1:16" s="43" customFormat="1" ht="24.6" customHeight="1" x14ac:dyDescent="0.2">
      <c r="A33" s="31">
        <v>31</v>
      </c>
      <c r="B33" s="33" t="s">
        <v>17</v>
      </c>
      <c r="C33" s="32" t="s">
        <v>47</v>
      </c>
      <c r="D33" s="96">
        <v>114</v>
      </c>
      <c r="E33" s="33" t="s">
        <v>17</v>
      </c>
      <c r="F33" s="34" t="s">
        <v>17</v>
      </c>
      <c r="G33" s="93">
        <v>23</v>
      </c>
      <c r="H33" s="92">
        <v>1</v>
      </c>
      <c r="I33" s="92">
        <f>G33/H33</f>
        <v>23</v>
      </c>
      <c r="J33" s="92">
        <v>1</v>
      </c>
      <c r="K33" s="34" t="s">
        <v>17</v>
      </c>
      <c r="L33" s="96">
        <v>281919.03999999998</v>
      </c>
      <c r="M33" s="93">
        <v>47502</v>
      </c>
      <c r="N33" s="37">
        <v>44973</v>
      </c>
      <c r="O33" s="59" t="s">
        <v>25</v>
      </c>
      <c r="P33" s="87"/>
    </row>
    <row r="34" spans="1:16" s="43" customFormat="1" ht="24.6" customHeight="1" x14ac:dyDescent="0.2">
      <c r="A34" s="31">
        <v>32</v>
      </c>
      <c r="B34" s="33" t="s">
        <v>17</v>
      </c>
      <c r="C34" s="32" t="s">
        <v>135</v>
      </c>
      <c r="D34" s="96">
        <v>110</v>
      </c>
      <c r="E34" s="33" t="s">
        <v>17</v>
      </c>
      <c r="F34" s="34" t="s">
        <v>17</v>
      </c>
      <c r="G34" s="93">
        <v>44</v>
      </c>
      <c r="H34" s="92">
        <v>6</v>
      </c>
      <c r="I34" s="92">
        <f>G34/H34</f>
        <v>7.333333333333333</v>
      </c>
      <c r="J34" s="92">
        <v>2</v>
      </c>
      <c r="K34" s="34" t="s">
        <v>17</v>
      </c>
      <c r="L34" s="96">
        <v>187093.44</v>
      </c>
      <c r="M34" s="93">
        <v>37396</v>
      </c>
      <c r="N34" s="37">
        <v>44869</v>
      </c>
      <c r="O34" s="59" t="s">
        <v>23</v>
      </c>
      <c r="P34" s="89"/>
    </row>
    <row r="35" spans="1:16" s="43" customFormat="1" ht="24.6" customHeight="1" x14ac:dyDescent="0.2">
      <c r="A35" s="31">
        <v>33</v>
      </c>
      <c r="B35" s="36">
        <v>20</v>
      </c>
      <c r="C35" s="32" t="s">
        <v>42</v>
      </c>
      <c r="D35" s="96">
        <v>75.7</v>
      </c>
      <c r="E35" s="33">
        <v>222.6</v>
      </c>
      <c r="F35" s="34">
        <f>(D35-E35)/E35</f>
        <v>-0.65992812219227304</v>
      </c>
      <c r="G35" s="93">
        <v>12</v>
      </c>
      <c r="H35" s="92">
        <v>1</v>
      </c>
      <c r="I35" s="92">
        <f>G35/H35</f>
        <v>12</v>
      </c>
      <c r="J35" s="92">
        <v>1</v>
      </c>
      <c r="K35" s="92">
        <v>25</v>
      </c>
      <c r="L35" s="96">
        <v>242014.63000000009</v>
      </c>
      <c r="M35" s="93">
        <v>37906</v>
      </c>
      <c r="N35" s="37">
        <v>44988</v>
      </c>
      <c r="O35" s="59" t="s">
        <v>43</v>
      </c>
      <c r="P35" s="89"/>
    </row>
    <row r="36" spans="1:16" s="43" customFormat="1" ht="24.6" customHeight="1" x14ac:dyDescent="0.2">
      <c r="A36" s="31">
        <v>34</v>
      </c>
      <c r="B36" s="33" t="s">
        <v>17</v>
      </c>
      <c r="C36" s="32" t="s">
        <v>204</v>
      </c>
      <c r="D36" s="96">
        <v>14</v>
      </c>
      <c r="E36" s="33" t="s">
        <v>17</v>
      </c>
      <c r="F36" s="34" t="s">
        <v>17</v>
      </c>
      <c r="G36" s="93">
        <v>4</v>
      </c>
      <c r="H36" s="92">
        <v>1</v>
      </c>
      <c r="I36" s="92">
        <f>G36/H36</f>
        <v>4</v>
      </c>
      <c r="J36" s="92">
        <v>1</v>
      </c>
      <c r="K36" s="34" t="s">
        <v>17</v>
      </c>
      <c r="L36" s="96">
        <v>3664.66</v>
      </c>
      <c r="M36" s="93">
        <v>791</v>
      </c>
      <c r="N36" s="37">
        <v>45135</v>
      </c>
      <c r="O36" s="59" t="s">
        <v>53</v>
      </c>
      <c r="P36" s="89"/>
    </row>
    <row r="37" spans="1:16" s="51" customFormat="1" ht="24" customHeight="1" x14ac:dyDescent="0.2">
      <c r="B37" s="84"/>
      <c r="C37" s="77" t="s">
        <v>239</v>
      </c>
      <c r="D37" s="52">
        <f>SUBTOTAL(109,Table1324567891011121314151716181920[Pajamos 
(GBO)])</f>
        <v>155448.68000000005</v>
      </c>
      <c r="E37" s="52" t="s">
        <v>231</v>
      </c>
      <c r="F37" s="81">
        <f t="shared" ref="F37" si="2">(D37-E37)/E37</f>
        <v>3.4001476682387247E-2</v>
      </c>
      <c r="G37" s="78">
        <f>SUBTOTAL(109,Table1324567891011121314151716181920[Žiūrovų sk. 
(ADM)])</f>
        <v>23807</v>
      </c>
      <c r="H37" s="70"/>
      <c r="I37" s="70"/>
      <c r="J37" s="70"/>
      <c r="K37" s="70"/>
      <c r="L37" s="52"/>
      <c r="M37" s="78"/>
      <c r="N37" s="53"/>
      <c r="O37" s="79" t="s">
        <v>56</v>
      </c>
      <c r="P37" s="85"/>
    </row>
    <row r="38" spans="1:16" hidden="1" x14ac:dyDescent="0.15">
      <c r="F38" s="4"/>
      <c r="L38" s="3"/>
    </row>
    <row r="39" spans="1:16" hidden="1" x14ac:dyDescent="0.15">
      <c r="F39" s="4"/>
      <c r="L39" s="3"/>
    </row>
    <row r="40" spans="1:16" hidden="1" x14ac:dyDescent="0.15">
      <c r="F40" s="4"/>
      <c r="L40" s="3"/>
    </row>
    <row r="41" spans="1:16" hidden="1" x14ac:dyDescent="0.15">
      <c r="F41" s="4"/>
      <c r="L41" s="3"/>
    </row>
    <row r="42" spans="1:16" hidden="1" x14ac:dyDescent="0.15">
      <c r="F42" s="4"/>
      <c r="L42" s="3"/>
    </row>
    <row r="43" spans="1:16" hidden="1" x14ac:dyDescent="0.15">
      <c r="F43" s="4"/>
      <c r="L43" s="3"/>
    </row>
    <row r="44" spans="1:16" hidden="1" x14ac:dyDescent="0.15">
      <c r="F44" s="4"/>
      <c r="L44" s="3"/>
    </row>
    <row r="45" spans="1:16" hidden="1" x14ac:dyDescent="0.15">
      <c r="F45" s="4"/>
      <c r="L45" s="3"/>
    </row>
    <row r="46" spans="1:16" hidden="1" x14ac:dyDescent="0.15">
      <c r="F46" s="4"/>
      <c r="L46" s="3"/>
    </row>
    <row r="47" spans="1:16" hidden="1" x14ac:dyDescent="0.15">
      <c r="F47" s="4"/>
      <c r="L47" s="3"/>
    </row>
    <row r="48" spans="1:16" hidden="1" x14ac:dyDescent="0.15">
      <c r="F48" s="4"/>
      <c r="L48" s="3"/>
    </row>
    <row r="49" spans="1:16383" hidden="1" x14ac:dyDescent="0.15">
      <c r="F49" s="4"/>
      <c r="L49" s="3"/>
    </row>
    <row r="50" spans="1:16383" hidden="1" x14ac:dyDescent="0.15">
      <c r="F50" s="4"/>
    </row>
    <row r="51" spans="1:16383" s="44" customFormat="1" hidden="1" x14ac:dyDescent="0.15">
      <c r="A51" s="1"/>
      <c r="B51" s="66"/>
      <c r="C51" s="1"/>
      <c r="D51" s="5"/>
      <c r="E51" s="5"/>
      <c r="F51" s="4"/>
      <c r="K51" s="66"/>
      <c r="L51" s="5"/>
      <c r="N51" s="12"/>
      <c r="O51" s="6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44" customFormat="1" hidden="1" x14ac:dyDescent="0.15">
      <c r="A52" s="1"/>
      <c r="B52" s="66"/>
      <c r="C52" s="1"/>
      <c r="D52" s="5"/>
      <c r="E52" s="5"/>
      <c r="F52" s="4"/>
      <c r="K52" s="66"/>
      <c r="L52" s="5"/>
      <c r="N52" s="12"/>
      <c r="O52" s="6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s="44" customFormat="1" hidden="1" x14ac:dyDescent="0.15">
      <c r="A53" s="1"/>
      <c r="B53" s="66"/>
      <c r="C53" s="1"/>
      <c r="D53" s="5"/>
      <c r="E53" s="5"/>
      <c r="F53" s="4"/>
      <c r="K53" s="66"/>
      <c r="L53" s="5"/>
      <c r="N53" s="12"/>
      <c r="O53" s="6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hidden="1" x14ac:dyDescent="0.15"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6383" hidden="1" x14ac:dyDescent="0.15"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6383" hidden="1" x14ac:dyDescent="0.15"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6383" hidden="1" x14ac:dyDescent="0.15"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6383" hidden="1" x14ac:dyDescent="0.15"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6383" hidden="1" x14ac:dyDescent="0.15"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6383" hidden="1" x14ac:dyDescent="0.15"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6383" hidden="1" x14ac:dyDescent="0.15"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6383" hidden="1" x14ac:dyDescent="0.15"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6383" hidden="1" x14ac:dyDescent="0.15"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6383" hidden="1" x14ac:dyDescent="0.15"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73814-DA1E-434A-B445-3BD4B17C15B7}">
  <dimension ref="A1:XFC57"/>
  <sheetViews>
    <sheetView topLeftCell="A12" zoomScale="60" zoomScaleNormal="60" workbookViewId="0">
      <selection activeCell="C28" sqref="C28"/>
    </sheetView>
  </sheetViews>
  <sheetFormatPr defaultColWidth="18.28515625" defaultRowHeight="11.25" customHeight="1" zeroHeight="1" x14ac:dyDescent="0.15"/>
  <cols>
    <col min="1" max="1" width="4.7109375" style="1" customWidth="1"/>
    <col min="2" max="2" width="4.7109375" style="44" customWidth="1"/>
    <col min="3" max="3" width="31.4257812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222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1">
        <v>1</v>
      </c>
      <c r="C3" s="32" t="s">
        <v>193</v>
      </c>
      <c r="D3" s="96">
        <v>33880.129999999997</v>
      </c>
      <c r="E3" s="96">
        <v>54512.160000000003</v>
      </c>
      <c r="F3" s="34">
        <f>(D3-E3)/E3</f>
        <v>-0.37848491052271649</v>
      </c>
      <c r="G3" s="93">
        <v>4249</v>
      </c>
      <c r="H3" s="92">
        <v>93</v>
      </c>
      <c r="I3" s="92">
        <f t="shared" ref="I3:I14" si="0">G3/H3</f>
        <v>45.688172043010752</v>
      </c>
      <c r="J3" s="92">
        <v>13</v>
      </c>
      <c r="K3" s="92">
        <v>5</v>
      </c>
      <c r="L3" s="96">
        <v>887747.68</v>
      </c>
      <c r="M3" s="93">
        <v>123032</v>
      </c>
      <c r="N3" s="37">
        <v>45128</v>
      </c>
      <c r="O3" s="59" t="s">
        <v>160</v>
      </c>
      <c r="P3" s="89"/>
    </row>
    <row r="4" spans="1:18" s="39" customFormat="1" ht="24.6" customHeight="1" x14ac:dyDescent="0.2">
      <c r="A4" s="31">
        <v>2</v>
      </c>
      <c r="B4" s="31">
        <v>2</v>
      </c>
      <c r="C4" s="32" t="s">
        <v>189</v>
      </c>
      <c r="D4" s="96">
        <v>26848.06</v>
      </c>
      <c r="E4" s="96">
        <v>46294.52</v>
      </c>
      <c r="F4" s="34">
        <f>(D4-E4)/E4</f>
        <v>-0.42005965284876046</v>
      </c>
      <c r="G4" s="93">
        <v>3984</v>
      </c>
      <c r="H4" s="92">
        <v>111</v>
      </c>
      <c r="I4" s="92">
        <f t="shared" si="0"/>
        <v>35.891891891891895</v>
      </c>
      <c r="J4" s="92">
        <v>16</v>
      </c>
      <c r="K4" s="92">
        <v>5</v>
      </c>
      <c r="L4" s="96">
        <v>1015675.16</v>
      </c>
      <c r="M4" s="93">
        <v>152534</v>
      </c>
      <c r="N4" s="37">
        <v>45128</v>
      </c>
      <c r="O4" s="59" t="s">
        <v>21</v>
      </c>
      <c r="P4" s="89"/>
    </row>
    <row r="5" spans="1:18" s="39" customFormat="1" ht="24.6" customHeight="1" x14ac:dyDescent="0.2">
      <c r="A5" s="31">
        <v>3</v>
      </c>
      <c r="B5" s="31">
        <v>3</v>
      </c>
      <c r="C5" s="32" t="s">
        <v>216</v>
      </c>
      <c r="D5" s="96">
        <v>21315.27</v>
      </c>
      <c r="E5" s="96">
        <v>33605.339999999997</v>
      </c>
      <c r="F5" s="34">
        <f>(D5-E5)/E5</f>
        <v>-0.36571776985443377</v>
      </c>
      <c r="G5" s="93">
        <v>3094</v>
      </c>
      <c r="H5" s="92">
        <v>74</v>
      </c>
      <c r="I5" s="92">
        <f t="shared" si="0"/>
        <v>41.810810810810814</v>
      </c>
      <c r="J5" s="92">
        <v>12</v>
      </c>
      <c r="K5" s="92">
        <v>2</v>
      </c>
      <c r="L5" s="96">
        <v>106322.73</v>
      </c>
      <c r="M5" s="93">
        <v>15881</v>
      </c>
      <c r="N5" s="37">
        <v>45149</v>
      </c>
      <c r="O5" s="59" t="s">
        <v>23</v>
      </c>
      <c r="P5" s="89"/>
      <c r="R5" s="31"/>
    </row>
    <row r="6" spans="1:18" s="39" customFormat="1" ht="24.95" customHeight="1" x14ac:dyDescent="0.2">
      <c r="A6" s="31">
        <v>4</v>
      </c>
      <c r="B6" s="31">
        <v>4</v>
      </c>
      <c r="C6" s="32" t="s">
        <v>209</v>
      </c>
      <c r="D6" s="97">
        <v>12368.85</v>
      </c>
      <c r="E6" s="97">
        <v>22198.55</v>
      </c>
      <c r="F6" s="34">
        <f>(D6-E6)/E6</f>
        <v>-0.44280820143658028</v>
      </c>
      <c r="G6" s="94">
        <v>1842</v>
      </c>
      <c r="H6" s="92">
        <v>53</v>
      </c>
      <c r="I6" s="92">
        <f t="shared" si="0"/>
        <v>34.754716981132077</v>
      </c>
      <c r="J6" s="92">
        <v>10</v>
      </c>
      <c r="K6" s="92">
        <v>3</v>
      </c>
      <c r="L6" s="97">
        <v>133808.95999999999</v>
      </c>
      <c r="M6" s="94">
        <v>21028</v>
      </c>
      <c r="N6" s="37">
        <v>45142</v>
      </c>
      <c r="O6" s="59" t="s">
        <v>21</v>
      </c>
      <c r="P6" s="89"/>
      <c r="R6" s="31"/>
    </row>
    <row r="7" spans="1:18" s="39" customFormat="1" ht="24.6" customHeight="1" x14ac:dyDescent="0.2">
      <c r="A7" s="31">
        <v>5</v>
      </c>
      <c r="B7" s="34" t="s">
        <v>15</v>
      </c>
      <c r="C7" s="32" t="s">
        <v>224</v>
      </c>
      <c r="D7" s="33">
        <v>12077.81</v>
      </c>
      <c r="E7" s="34" t="s">
        <v>17</v>
      </c>
      <c r="F7" s="34" t="s">
        <v>17</v>
      </c>
      <c r="G7" s="35">
        <v>1710</v>
      </c>
      <c r="H7" s="36">
        <v>102</v>
      </c>
      <c r="I7" s="92">
        <f t="shared" si="0"/>
        <v>16.764705882352942</v>
      </c>
      <c r="J7" s="36">
        <v>14</v>
      </c>
      <c r="K7" s="36">
        <v>1</v>
      </c>
      <c r="L7" s="33">
        <v>14583.49</v>
      </c>
      <c r="M7" s="93">
        <v>2069</v>
      </c>
      <c r="N7" s="37">
        <v>45156</v>
      </c>
      <c r="O7" s="67" t="s">
        <v>21</v>
      </c>
      <c r="P7" s="87"/>
      <c r="R7" s="31"/>
    </row>
    <row r="8" spans="1:18" s="39" customFormat="1" ht="24.95" customHeight="1" x14ac:dyDescent="0.2">
      <c r="A8" s="31">
        <v>6</v>
      </c>
      <c r="B8" s="34" t="s">
        <v>15</v>
      </c>
      <c r="C8" s="32" t="s">
        <v>225</v>
      </c>
      <c r="D8" s="96">
        <v>8630.7000000000007</v>
      </c>
      <c r="E8" s="96" t="s">
        <v>17</v>
      </c>
      <c r="F8" s="34" t="s">
        <v>17</v>
      </c>
      <c r="G8" s="93">
        <v>1237</v>
      </c>
      <c r="H8" s="92">
        <v>70</v>
      </c>
      <c r="I8" s="92">
        <f t="shared" si="0"/>
        <v>17.671428571428571</v>
      </c>
      <c r="J8" s="92">
        <v>13</v>
      </c>
      <c r="K8" s="92">
        <v>1</v>
      </c>
      <c r="L8" s="96">
        <v>9493.4</v>
      </c>
      <c r="M8" s="93">
        <v>1369</v>
      </c>
      <c r="N8" s="37">
        <v>45156</v>
      </c>
      <c r="O8" s="59" t="s">
        <v>25</v>
      </c>
      <c r="P8" s="87"/>
      <c r="R8" s="31"/>
    </row>
    <row r="9" spans="1:18" s="39" customFormat="1" ht="24.95" customHeight="1" x14ac:dyDescent="0.2">
      <c r="A9" s="31">
        <v>7</v>
      </c>
      <c r="B9" s="31">
        <v>5</v>
      </c>
      <c r="C9" s="32" t="s">
        <v>154</v>
      </c>
      <c r="D9" s="96">
        <v>7293.61</v>
      </c>
      <c r="E9" s="96">
        <v>9186.9</v>
      </c>
      <c r="F9" s="34">
        <f>(D9-E9)/E9</f>
        <v>-0.20608583961945814</v>
      </c>
      <c r="G9" s="93">
        <v>1365</v>
      </c>
      <c r="H9" s="92">
        <v>31</v>
      </c>
      <c r="I9" s="92">
        <f t="shared" si="0"/>
        <v>44.032258064516128</v>
      </c>
      <c r="J9" s="92">
        <v>9</v>
      </c>
      <c r="K9" s="92">
        <v>10</v>
      </c>
      <c r="L9" s="96">
        <v>442388.79</v>
      </c>
      <c r="M9" s="93">
        <v>87369</v>
      </c>
      <c r="N9" s="37">
        <v>45093</v>
      </c>
      <c r="O9" s="59" t="s">
        <v>49</v>
      </c>
      <c r="P9" s="67"/>
      <c r="R9" s="31"/>
    </row>
    <row r="10" spans="1:18" s="39" customFormat="1" ht="24.95" customHeight="1" x14ac:dyDescent="0.2">
      <c r="A10" s="31">
        <v>8</v>
      </c>
      <c r="B10" s="35" t="s">
        <v>15</v>
      </c>
      <c r="C10" s="14" t="s">
        <v>227</v>
      </c>
      <c r="D10" s="98">
        <v>5200.7</v>
      </c>
      <c r="E10" s="34" t="s">
        <v>17</v>
      </c>
      <c r="F10" s="34" t="s">
        <v>17</v>
      </c>
      <c r="G10" s="99">
        <v>787</v>
      </c>
      <c r="H10" s="95">
        <v>16</v>
      </c>
      <c r="I10" s="92">
        <f t="shared" si="0"/>
        <v>49.1875</v>
      </c>
      <c r="J10" s="95">
        <v>7</v>
      </c>
      <c r="K10" s="95">
        <v>1</v>
      </c>
      <c r="L10" s="96">
        <v>5200.7</v>
      </c>
      <c r="M10" s="93">
        <v>787</v>
      </c>
      <c r="N10" s="37">
        <v>45156</v>
      </c>
      <c r="O10" s="59" t="s">
        <v>219</v>
      </c>
      <c r="P10" s="87"/>
      <c r="R10" s="31"/>
    </row>
    <row r="11" spans="1:18" s="39" customFormat="1" ht="24.95" customHeight="1" x14ac:dyDescent="0.2">
      <c r="A11" s="31">
        <v>9</v>
      </c>
      <c r="B11" s="35" t="s">
        <v>15</v>
      </c>
      <c r="C11" s="14" t="s">
        <v>226</v>
      </c>
      <c r="D11" s="15">
        <v>4671.9399999999996</v>
      </c>
      <c r="E11" s="34" t="s">
        <v>17</v>
      </c>
      <c r="F11" s="34" t="s">
        <v>17</v>
      </c>
      <c r="G11" s="17">
        <v>914</v>
      </c>
      <c r="H11" s="18">
        <v>75</v>
      </c>
      <c r="I11" s="92">
        <f t="shared" si="0"/>
        <v>12.186666666666667</v>
      </c>
      <c r="J11" s="18">
        <v>16</v>
      </c>
      <c r="K11" s="18">
        <v>1</v>
      </c>
      <c r="L11" s="33">
        <v>5091.87</v>
      </c>
      <c r="M11" s="93">
        <v>987</v>
      </c>
      <c r="N11" s="37">
        <v>45156</v>
      </c>
      <c r="O11" s="67" t="s">
        <v>25</v>
      </c>
      <c r="P11" s="87"/>
      <c r="R11" s="31"/>
    </row>
    <row r="12" spans="1:18" s="43" customFormat="1" ht="24.6" customHeight="1" x14ac:dyDescent="0.2">
      <c r="A12" s="31">
        <v>10</v>
      </c>
      <c r="B12" s="31">
        <v>6</v>
      </c>
      <c r="C12" s="32" t="s">
        <v>210</v>
      </c>
      <c r="D12" s="97">
        <v>4346.47</v>
      </c>
      <c r="E12" s="97">
        <v>8788.52</v>
      </c>
      <c r="F12" s="34">
        <f t="shared" ref="F12:F17" si="1">(D12-E12)/E12</f>
        <v>-0.50543777564368064</v>
      </c>
      <c r="G12" s="94">
        <v>782</v>
      </c>
      <c r="H12" s="92">
        <v>41</v>
      </c>
      <c r="I12" s="92">
        <f t="shared" si="0"/>
        <v>19.073170731707318</v>
      </c>
      <c r="J12" s="92">
        <v>10</v>
      </c>
      <c r="K12" s="92">
        <v>3</v>
      </c>
      <c r="L12" s="97">
        <v>58271.29</v>
      </c>
      <c r="M12" s="94">
        <v>11391</v>
      </c>
      <c r="N12" s="37">
        <v>45142</v>
      </c>
      <c r="O12" s="59" t="s">
        <v>159</v>
      </c>
      <c r="P12" s="89"/>
    </row>
    <row r="13" spans="1:18" s="43" customFormat="1" ht="24.6" customHeight="1" x14ac:dyDescent="0.2">
      <c r="A13" s="31">
        <v>11</v>
      </c>
      <c r="B13" s="31">
        <v>7</v>
      </c>
      <c r="C13" s="32" t="s">
        <v>184</v>
      </c>
      <c r="D13" s="96">
        <v>3523.69</v>
      </c>
      <c r="E13" s="96">
        <v>6634.6</v>
      </c>
      <c r="F13" s="34">
        <f t="shared" si="1"/>
        <v>-0.46889186989419107</v>
      </c>
      <c r="G13" s="93">
        <v>681</v>
      </c>
      <c r="H13" s="92">
        <v>31</v>
      </c>
      <c r="I13" s="92">
        <f t="shared" si="0"/>
        <v>21.967741935483872</v>
      </c>
      <c r="J13" s="92">
        <v>9</v>
      </c>
      <c r="K13" s="92">
        <v>6</v>
      </c>
      <c r="L13" s="96">
        <v>190631.6</v>
      </c>
      <c r="M13" s="93">
        <v>38317</v>
      </c>
      <c r="N13" s="37">
        <v>45121</v>
      </c>
      <c r="O13" s="59" t="s">
        <v>25</v>
      </c>
      <c r="P13" s="89"/>
    </row>
    <row r="14" spans="1:18" s="43" customFormat="1" ht="24.6" customHeight="1" x14ac:dyDescent="0.2">
      <c r="A14" s="31">
        <v>12</v>
      </c>
      <c r="B14" s="31">
        <v>8</v>
      </c>
      <c r="C14" s="32" t="s">
        <v>186</v>
      </c>
      <c r="D14" s="96">
        <v>2893.09</v>
      </c>
      <c r="E14" s="96">
        <v>4505.57</v>
      </c>
      <c r="F14" s="34">
        <f t="shared" si="1"/>
        <v>-0.35788590566787326</v>
      </c>
      <c r="G14" s="93">
        <v>395</v>
      </c>
      <c r="H14" s="92">
        <v>16</v>
      </c>
      <c r="I14" s="92">
        <f t="shared" si="0"/>
        <v>24.6875</v>
      </c>
      <c r="J14" s="92">
        <v>5</v>
      </c>
      <c r="K14" s="92">
        <v>6</v>
      </c>
      <c r="L14" s="96">
        <v>186889.47</v>
      </c>
      <c r="M14" s="93">
        <v>27157</v>
      </c>
      <c r="N14" s="37">
        <v>45121</v>
      </c>
      <c r="O14" s="59" t="s">
        <v>159</v>
      </c>
      <c r="P14" s="89"/>
    </row>
    <row r="15" spans="1:18" s="43" customFormat="1" ht="24.6" customHeight="1" x14ac:dyDescent="0.2">
      <c r="A15" s="31">
        <v>13</v>
      </c>
      <c r="B15" s="31">
        <v>11</v>
      </c>
      <c r="C15" s="32" t="s">
        <v>217</v>
      </c>
      <c r="D15" s="96">
        <v>2699</v>
      </c>
      <c r="E15" s="96">
        <v>3246.94</v>
      </c>
      <c r="F15" s="34">
        <f t="shared" si="1"/>
        <v>-0.16875581316562674</v>
      </c>
      <c r="G15" s="93">
        <v>592</v>
      </c>
      <c r="H15" s="34" t="s">
        <v>17</v>
      </c>
      <c r="I15" s="34" t="s">
        <v>17</v>
      </c>
      <c r="J15" s="92">
        <v>6</v>
      </c>
      <c r="K15" s="92">
        <v>2</v>
      </c>
      <c r="L15" s="96">
        <v>9456.6</v>
      </c>
      <c r="M15" s="93">
        <v>1999</v>
      </c>
      <c r="N15" s="37">
        <v>45149</v>
      </c>
      <c r="O15" s="59" t="s">
        <v>67</v>
      </c>
      <c r="P15" s="89"/>
    </row>
    <row r="16" spans="1:18" s="43" customFormat="1" ht="24.6" customHeight="1" x14ac:dyDescent="0.2">
      <c r="A16" s="31">
        <v>14</v>
      </c>
      <c r="B16" s="31">
        <v>9</v>
      </c>
      <c r="C16" s="32" t="s">
        <v>218</v>
      </c>
      <c r="D16" s="96">
        <v>1346.78</v>
      </c>
      <c r="E16" s="96">
        <v>4349.08</v>
      </c>
      <c r="F16" s="34">
        <f t="shared" si="1"/>
        <v>-0.69032990885428647</v>
      </c>
      <c r="G16" s="93">
        <v>250</v>
      </c>
      <c r="H16" s="92">
        <v>22</v>
      </c>
      <c r="I16" s="92">
        <f t="shared" ref="I16:I23" si="2">G16/H16</f>
        <v>11.363636363636363</v>
      </c>
      <c r="J16" s="92">
        <v>10</v>
      </c>
      <c r="K16" s="92">
        <v>2</v>
      </c>
      <c r="L16" s="96">
        <v>10794.2</v>
      </c>
      <c r="M16" s="93">
        <v>2237</v>
      </c>
      <c r="N16" s="37">
        <v>45149</v>
      </c>
      <c r="O16" s="59" t="s">
        <v>219</v>
      </c>
      <c r="P16" s="89"/>
    </row>
    <row r="17" spans="1:16" s="43" customFormat="1" ht="24.6" customHeight="1" x14ac:dyDescent="0.15">
      <c r="A17" s="31">
        <v>15</v>
      </c>
      <c r="B17" s="31">
        <v>12</v>
      </c>
      <c r="C17" s="32" t="s">
        <v>180</v>
      </c>
      <c r="D17" s="96">
        <v>712.31</v>
      </c>
      <c r="E17" s="96">
        <v>2044.6</v>
      </c>
      <c r="F17" s="34">
        <f t="shared" si="1"/>
        <v>-0.65161400762985422</v>
      </c>
      <c r="G17" s="93">
        <v>98</v>
      </c>
      <c r="H17" s="92">
        <v>4</v>
      </c>
      <c r="I17" s="92">
        <f t="shared" si="2"/>
        <v>24.5</v>
      </c>
      <c r="J17" s="92">
        <v>2</v>
      </c>
      <c r="K17" s="92">
        <v>7</v>
      </c>
      <c r="L17" s="96">
        <v>211493.51</v>
      </c>
      <c r="M17" s="93">
        <v>29808</v>
      </c>
      <c r="N17" s="37">
        <v>45114</v>
      </c>
      <c r="O17" s="59" t="s">
        <v>23</v>
      </c>
      <c r="P17" s="67"/>
    </row>
    <row r="18" spans="1:16" s="43" customFormat="1" ht="24.6" customHeight="1" x14ac:dyDescent="0.2">
      <c r="A18" s="31">
        <v>16</v>
      </c>
      <c r="B18" s="34" t="s">
        <v>15</v>
      </c>
      <c r="C18" s="32" t="s">
        <v>223</v>
      </c>
      <c r="D18" s="96">
        <v>582.70000000000005</v>
      </c>
      <c r="E18" s="34" t="s">
        <v>17</v>
      </c>
      <c r="F18" s="34" t="s">
        <v>17</v>
      </c>
      <c r="G18" s="93">
        <v>109</v>
      </c>
      <c r="H18" s="92">
        <v>20</v>
      </c>
      <c r="I18" s="92">
        <f t="shared" si="2"/>
        <v>5.45</v>
      </c>
      <c r="J18" s="92">
        <v>8</v>
      </c>
      <c r="K18" s="92">
        <v>1</v>
      </c>
      <c r="L18" s="96">
        <v>582.70000000000005</v>
      </c>
      <c r="M18" s="93">
        <v>109</v>
      </c>
      <c r="N18" s="37">
        <v>45156</v>
      </c>
      <c r="O18" s="59" t="s">
        <v>73</v>
      </c>
      <c r="P18" s="87"/>
    </row>
    <row r="19" spans="1:16" s="43" customFormat="1" ht="24.6" customHeight="1" x14ac:dyDescent="0.2">
      <c r="A19" s="31">
        <v>17</v>
      </c>
      <c r="B19" s="31">
        <v>15</v>
      </c>
      <c r="C19" s="32" t="s">
        <v>131</v>
      </c>
      <c r="D19" s="96">
        <v>300</v>
      </c>
      <c r="E19" s="96">
        <v>345</v>
      </c>
      <c r="F19" s="34">
        <f>(D19-E19)/E19</f>
        <v>-0.13043478260869565</v>
      </c>
      <c r="G19" s="93">
        <v>120</v>
      </c>
      <c r="H19" s="92">
        <v>6</v>
      </c>
      <c r="I19" s="92">
        <f t="shared" si="2"/>
        <v>20</v>
      </c>
      <c r="J19" s="92">
        <v>2</v>
      </c>
      <c r="K19" s="34" t="s">
        <v>17</v>
      </c>
      <c r="L19" s="96">
        <v>170945.08</v>
      </c>
      <c r="M19" s="93">
        <v>35525</v>
      </c>
      <c r="N19" s="37">
        <v>44925</v>
      </c>
      <c r="O19" s="59" t="s">
        <v>33</v>
      </c>
      <c r="P19" s="89"/>
    </row>
    <row r="20" spans="1:16" s="43" customFormat="1" ht="24.6" customHeight="1" x14ac:dyDescent="0.2">
      <c r="A20" s="31">
        <v>18</v>
      </c>
      <c r="B20" s="31">
        <v>14</v>
      </c>
      <c r="C20" s="32" t="s">
        <v>175</v>
      </c>
      <c r="D20" s="97">
        <v>285.23</v>
      </c>
      <c r="E20" s="97">
        <v>458.83</v>
      </c>
      <c r="F20" s="34">
        <f>(D20-E20)/E20</f>
        <v>-0.37835363860253246</v>
      </c>
      <c r="G20" s="94">
        <v>64</v>
      </c>
      <c r="H20" s="92">
        <v>7</v>
      </c>
      <c r="I20" s="92">
        <f t="shared" si="2"/>
        <v>9.1428571428571423</v>
      </c>
      <c r="J20" s="92">
        <v>3</v>
      </c>
      <c r="K20" s="92">
        <v>8</v>
      </c>
      <c r="L20" s="97">
        <v>94295.35</v>
      </c>
      <c r="M20" s="94">
        <v>20216</v>
      </c>
      <c r="N20" s="37">
        <v>45107</v>
      </c>
      <c r="O20" s="59" t="s">
        <v>160</v>
      </c>
      <c r="P20" s="89"/>
    </row>
    <row r="21" spans="1:16" s="43" customFormat="1" ht="24.6" customHeight="1" x14ac:dyDescent="0.2">
      <c r="A21" s="31">
        <v>19</v>
      </c>
      <c r="B21" s="34" t="s">
        <v>17</v>
      </c>
      <c r="C21" s="14" t="s">
        <v>45</v>
      </c>
      <c r="D21" s="98">
        <v>275</v>
      </c>
      <c r="E21" s="34" t="s">
        <v>17</v>
      </c>
      <c r="F21" s="34" t="s">
        <v>17</v>
      </c>
      <c r="G21" s="99">
        <v>111</v>
      </c>
      <c r="H21" s="95">
        <v>6</v>
      </c>
      <c r="I21" s="92">
        <f t="shared" si="2"/>
        <v>18.5</v>
      </c>
      <c r="J21" s="95">
        <v>2</v>
      </c>
      <c r="K21" s="34" t="s">
        <v>17</v>
      </c>
      <c r="L21" s="96">
        <v>1046351.89</v>
      </c>
      <c r="M21" s="93">
        <v>194982</v>
      </c>
      <c r="N21" s="37">
        <v>44916</v>
      </c>
      <c r="O21" s="59" t="s">
        <v>160</v>
      </c>
      <c r="P21" s="87"/>
    </row>
    <row r="22" spans="1:16" s="43" customFormat="1" ht="24.6" customHeight="1" x14ac:dyDescent="0.2">
      <c r="A22" s="31">
        <v>20</v>
      </c>
      <c r="B22" s="31">
        <v>20</v>
      </c>
      <c r="C22" s="32" t="s">
        <v>42</v>
      </c>
      <c r="D22" s="96">
        <v>222.6</v>
      </c>
      <c r="E22" s="96">
        <v>219.9</v>
      </c>
      <c r="F22" s="34">
        <f>(D22-E22)/E22</f>
        <v>1.2278308321964478E-2</v>
      </c>
      <c r="G22" s="93">
        <v>32</v>
      </c>
      <c r="H22" s="92">
        <v>3</v>
      </c>
      <c r="I22" s="92">
        <f t="shared" si="2"/>
        <v>10.666666666666666</v>
      </c>
      <c r="J22" s="92">
        <v>1</v>
      </c>
      <c r="K22" s="92">
        <v>24</v>
      </c>
      <c r="L22" s="96">
        <v>241831.63000000009</v>
      </c>
      <c r="M22" s="93">
        <v>37879</v>
      </c>
      <c r="N22" s="37">
        <v>44988</v>
      </c>
      <c r="O22" s="59" t="s">
        <v>43</v>
      </c>
      <c r="P22" s="89"/>
    </row>
    <row r="23" spans="1:16" s="43" customFormat="1" ht="24.6" customHeight="1" x14ac:dyDescent="0.2">
      <c r="A23" s="31">
        <v>21</v>
      </c>
      <c r="B23" s="34" t="s">
        <v>17</v>
      </c>
      <c r="C23" s="14" t="s">
        <v>228</v>
      </c>
      <c r="D23" s="98">
        <v>220</v>
      </c>
      <c r="E23" s="34" t="s">
        <v>17</v>
      </c>
      <c r="F23" s="34" t="s">
        <v>17</v>
      </c>
      <c r="G23" s="99">
        <v>88</v>
      </c>
      <c r="H23" s="95">
        <v>6</v>
      </c>
      <c r="I23" s="92">
        <f t="shared" si="2"/>
        <v>14.666666666666666</v>
      </c>
      <c r="J23" s="95">
        <v>2</v>
      </c>
      <c r="K23" s="34" t="s">
        <v>17</v>
      </c>
      <c r="L23" s="96">
        <v>139743.35</v>
      </c>
      <c r="M23" s="93">
        <v>27282</v>
      </c>
      <c r="N23" s="37">
        <v>44890</v>
      </c>
      <c r="O23" s="59" t="s">
        <v>219</v>
      </c>
      <c r="P23" s="87"/>
    </row>
    <row r="24" spans="1:16" s="43" customFormat="1" ht="24.6" customHeight="1" x14ac:dyDescent="0.2">
      <c r="A24" s="31">
        <v>22</v>
      </c>
      <c r="B24" s="31">
        <v>24</v>
      </c>
      <c r="C24" s="32" t="s">
        <v>197</v>
      </c>
      <c r="D24" s="96">
        <v>165</v>
      </c>
      <c r="E24" s="96">
        <v>137</v>
      </c>
      <c r="F24" s="34">
        <f t="shared" ref="F24:F29" si="3">(D24-E24)/E24</f>
        <v>0.20437956204379562</v>
      </c>
      <c r="G24" s="93">
        <v>43</v>
      </c>
      <c r="H24" s="92" t="s">
        <v>17</v>
      </c>
      <c r="I24" s="92" t="s">
        <v>17</v>
      </c>
      <c r="J24" s="92">
        <v>3</v>
      </c>
      <c r="K24" s="92">
        <v>5</v>
      </c>
      <c r="L24" s="96">
        <v>47643</v>
      </c>
      <c r="M24" s="93">
        <v>10297</v>
      </c>
      <c r="N24" s="37">
        <v>45128</v>
      </c>
      <c r="O24" s="59" t="s">
        <v>28</v>
      </c>
      <c r="P24" s="89"/>
    </row>
    <row r="25" spans="1:16" s="43" customFormat="1" ht="24.6" customHeight="1" x14ac:dyDescent="0.2">
      <c r="A25" s="31">
        <v>23</v>
      </c>
      <c r="B25" s="31">
        <v>21</v>
      </c>
      <c r="C25" s="32" t="s">
        <v>54</v>
      </c>
      <c r="D25" s="96">
        <v>155</v>
      </c>
      <c r="E25" s="96">
        <v>200</v>
      </c>
      <c r="F25" s="34">
        <f t="shared" si="3"/>
        <v>-0.22500000000000001</v>
      </c>
      <c r="G25" s="93">
        <v>62</v>
      </c>
      <c r="H25" s="92">
        <v>6</v>
      </c>
      <c r="I25" s="92">
        <f>G25/H25</f>
        <v>10.333333333333334</v>
      </c>
      <c r="J25" s="92">
        <v>2</v>
      </c>
      <c r="K25" s="34" t="s">
        <v>17</v>
      </c>
      <c r="L25" s="96">
        <v>73904.010000000009</v>
      </c>
      <c r="M25" s="93">
        <v>15696</v>
      </c>
      <c r="N25" s="37">
        <v>44981</v>
      </c>
      <c r="O25" s="59" t="s">
        <v>33</v>
      </c>
      <c r="P25" s="89"/>
    </row>
    <row r="26" spans="1:16" s="43" customFormat="1" ht="24.6" customHeight="1" x14ac:dyDescent="0.15">
      <c r="A26" s="31">
        <v>24</v>
      </c>
      <c r="B26" s="31">
        <v>18</v>
      </c>
      <c r="C26" s="41" t="s">
        <v>145</v>
      </c>
      <c r="D26" s="33">
        <v>147.80000000000001</v>
      </c>
      <c r="E26" s="33">
        <v>284</v>
      </c>
      <c r="F26" s="34">
        <f t="shared" si="3"/>
        <v>-0.47957746478873237</v>
      </c>
      <c r="G26" s="35">
        <v>21</v>
      </c>
      <c r="H26" s="36">
        <v>2</v>
      </c>
      <c r="I26" s="36">
        <f>G26/H26</f>
        <v>10.5</v>
      </c>
      <c r="J26" s="35">
        <v>1</v>
      </c>
      <c r="K26" s="36">
        <v>11</v>
      </c>
      <c r="L26" s="33">
        <v>56835.58</v>
      </c>
      <c r="M26" s="35">
        <v>9152</v>
      </c>
      <c r="N26" s="37">
        <v>45086</v>
      </c>
      <c r="O26" s="59" t="s">
        <v>160</v>
      </c>
      <c r="P26" s="67"/>
    </row>
    <row r="27" spans="1:16" s="43" customFormat="1" ht="24.6" customHeight="1" x14ac:dyDescent="0.2">
      <c r="A27" s="31">
        <v>25</v>
      </c>
      <c r="B27" s="31">
        <v>23</v>
      </c>
      <c r="C27" s="32" t="s">
        <v>130</v>
      </c>
      <c r="D27" s="96">
        <v>79.7</v>
      </c>
      <c r="E27" s="96">
        <v>146.9</v>
      </c>
      <c r="F27" s="34">
        <f t="shared" si="3"/>
        <v>-0.45745405037440434</v>
      </c>
      <c r="G27" s="93">
        <v>11</v>
      </c>
      <c r="H27" s="92">
        <v>2</v>
      </c>
      <c r="I27" s="92">
        <f>G27/H27</f>
        <v>5.5</v>
      </c>
      <c r="J27" s="92">
        <v>1</v>
      </c>
      <c r="K27" s="34" t="s">
        <v>17</v>
      </c>
      <c r="L27" s="96">
        <v>9119.8000000000011</v>
      </c>
      <c r="M27" s="93">
        <v>1405</v>
      </c>
      <c r="N27" s="37">
        <v>45079</v>
      </c>
      <c r="O27" s="59" t="s">
        <v>33</v>
      </c>
      <c r="P27" s="89"/>
    </row>
    <row r="28" spans="1:16" s="43" customFormat="1" ht="24.6" customHeight="1" x14ac:dyDescent="0.2">
      <c r="A28" s="31">
        <v>26</v>
      </c>
      <c r="B28" s="31">
        <v>22</v>
      </c>
      <c r="C28" s="32" t="s">
        <v>72</v>
      </c>
      <c r="D28" s="96">
        <v>62</v>
      </c>
      <c r="E28" s="96">
        <v>192.1</v>
      </c>
      <c r="F28" s="34">
        <f t="shared" si="3"/>
        <v>-0.6772514315460697</v>
      </c>
      <c r="G28" s="93">
        <v>11</v>
      </c>
      <c r="H28" s="92">
        <v>1</v>
      </c>
      <c r="I28" s="92">
        <f>G28/H28</f>
        <v>11</v>
      </c>
      <c r="J28" s="92">
        <v>1</v>
      </c>
      <c r="K28" s="34" t="s">
        <v>17</v>
      </c>
      <c r="L28" s="96">
        <v>62010</v>
      </c>
      <c r="M28" s="93">
        <v>8365</v>
      </c>
      <c r="N28" s="37">
        <v>45012</v>
      </c>
      <c r="O28" s="59" t="s">
        <v>73</v>
      </c>
      <c r="P28" s="89"/>
    </row>
    <row r="29" spans="1:16" s="43" customFormat="1" ht="24.6" customHeight="1" x14ac:dyDescent="0.2">
      <c r="A29" s="31">
        <v>27</v>
      </c>
      <c r="B29" s="31">
        <v>27</v>
      </c>
      <c r="C29" s="32" t="s">
        <v>48</v>
      </c>
      <c r="D29" s="96">
        <v>34</v>
      </c>
      <c r="E29" s="96">
        <v>62</v>
      </c>
      <c r="F29" s="34">
        <f t="shared" si="3"/>
        <v>-0.45161290322580644</v>
      </c>
      <c r="G29" s="93">
        <v>7</v>
      </c>
      <c r="H29" s="92">
        <v>1</v>
      </c>
      <c r="I29" s="92">
        <f>G29/H29</f>
        <v>7</v>
      </c>
      <c r="J29" s="92">
        <v>1</v>
      </c>
      <c r="K29" s="34" t="s">
        <v>17</v>
      </c>
      <c r="L29" s="96">
        <v>35674.9</v>
      </c>
      <c r="M29" s="93">
        <v>5736</v>
      </c>
      <c r="N29" s="37">
        <v>44960</v>
      </c>
      <c r="O29" s="59" t="s">
        <v>49</v>
      </c>
      <c r="P29" s="89"/>
    </row>
    <row r="30" spans="1:16" s="51" customFormat="1" ht="24" customHeight="1" x14ac:dyDescent="0.2">
      <c r="B30" s="78"/>
      <c r="C30" s="77" t="s">
        <v>221</v>
      </c>
      <c r="D30" s="52">
        <f>SUBTOTAL(109,Table13245678910111213141517161819[Pajamos 
(GBO)])</f>
        <v>150337.44000000003</v>
      </c>
      <c r="E30" s="52" t="s">
        <v>229</v>
      </c>
      <c r="F30" s="81">
        <f t="shared" ref="F30" si="4">(D30-E30)/E30</f>
        <v>-0.25861435355732088</v>
      </c>
      <c r="G30" s="78">
        <f>SUBTOTAL(109,Table13245678910111213141517161819[Žiūrovų sk. 
(ADM)])</f>
        <v>22659</v>
      </c>
      <c r="H30" s="70"/>
      <c r="I30" s="70"/>
      <c r="J30" s="70"/>
      <c r="K30" s="70"/>
      <c r="L30" s="52"/>
      <c r="M30" s="78"/>
      <c r="N30" s="53"/>
      <c r="O30" s="79" t="s">
        <v>56</v>
      </c>
      <c r="P30" s="85"/>
    </row>
    <row r="31" spans="1:16" hidden="1" x14ac:dyDescent="0.15">
      <c r="F31" s="4"/>
      <c r="L31" s="3"/>
    </row>
    <row r="32" spans="1:16" hidden="1" x14ac:dyDescent="0.15">
      <c r="F32" s="4"/>
      <c r="L32" s="3"/>
    </row>
    <row r="33" spans="1:16383" hidden="1" x14ac:dyDescent="0.15">
      <c r="F33" s="4"/>
      <c r="L33" s="3"/>
    </row>
    <row r="34" spans="1:16383" hidden="1" x14ac:dyDescent="0.15">
      <c r="F34" s="4"/>
      <c r="L34" s="3"/>
    </row>
    <row r="35" spans="1:16383" hidden="1" x14ac:dyDescent="0.15">
      <c r="F35" s="4"/>
      <c r="L35" s="3"/>
    </row>
    <row r="36" spans="1:16383" hidden="1" x14ac:dyDescent="0.15">
      <c r="F36" s="4"/>
      <c r="L36" s="3"/>
    </row>
    <row r="37" spans="1:16383" hidden="1" x14ac:dyDescent="0.15">
      <c r="F37" s="4"/>
      <c r="L37" s="3"/>
    </row>
    <row r="38" spans="1:16383" hidden="1" x14ac:dyDescent="0.15">
      <c r="F38" s="4"/>
      <c r="L38" s="3"/>
    </row>
    <row r="39" spans="1:16383" hidden="1" x14ac:dyDescent="0.15">
      <c r="F39" s="4"/>
      <c r="L39" s="3"/>
    </row>
    <row r="40" spans="1:16383" hidden="1" x14ac:dyDescent="0.15">
      <c r="F40" s="4"/>
      <c r="L40" s="3"/>
    </row>
    <row r="41" spans="1:16383" hidden="1" x14ac:dyDescent="0.15">
      <c r="F41" s="4"/>
      <c r="L41" s="3"/>
    </row>
    <row r="42" spans="1:16383" hidden="1" x14ac:dyDescent="0.15">
      <c r="F42" s="4"/>
      <c r="L42" s="3"/>
    </row>
    <row r="43" spans="1:16383" hidden="1" x14ac:dyDescent="0.15">
      <c r="F43" s="4"/>
    </row>
    <row r="44" spans="1:16383" s="44" customFormat="1" hidden="1" x14ac:dyDescent="0.15">
      <c r="A44" s="1"/>
      <c r="C44" s="1"/>
      <c r="D44" s="5"/>
      <c r="E44" s="5"/>
      <c r="F44" s="4"/>
      <c r="K44" s="66"/>
      <c r="L44" s="5"/>
      <c r="N44" s="12"/>
      <c r="O44" s="6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</row>
    <row r="45" spans="1:16383" s="44" customFormat="1" hidden="1" x14ac:dyDescent="0.15">
      <c r="A45" s="1"/>
      <c r="C45" s="1"/>
      <c r="D45" s="5"/>
      <c r="E45" s="5"/>
      <c r="F45" s="4"/>
      <c r="K45" s="66"/>
      <c r="L45" s="5"/>
      <c r="N45" s="12"/>
      <c r="O45" s="6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</row>
    <row r="46" spans="1:16383" s="44" customFormat="1" hidden="1" x14ac:dyDescent="0.15">
      <c r="A46" s="1"/>
      <c r="C46" s="1"/>
      <c r="D46" s="5"/>
      <c r="E46" s="5"/>
      <c r="F46" s="4"/>
      <c r="K46" s="66"/>
      <c r="L46" s="5"/>
      <c r="N46" s="12"/>
      <c r="O46" s="6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spans="1:16383" hidden="1" x14ac:dyDescent="0.15">
      <c r="B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6383" hidden="1" x14ac:dyDescent="0.15">
      <c r="B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="1" customFormat="1" hidden="1" x14ac:dyDescent="0.15"/>
    <row r="50" s="1" customFormat="1" hidden="1" x14ac:dyDescent="0.15"/>
    <row r="51" s="1" customFormat="1" hidden="1" x14ac:dyDescent="0.15"/>
    <row r="52" s="1" customFormat="1" hidden="1" x14ac:dyDescent="0.15"/>
    <row r="53" s="1" customFormat="1" hidden="1" x14ac:dyDescent="0.15"/>
    <row r="54" s="1" customFormat="1" hidden="1" x14ac:dyDescent="0.15"/>
    <row r="55" s="1" customFormat="1" hidden="1" x14ac:dyDescent="0.15"/>
    <row r="56" s="1" customFormat="1" hidden="1" x14ac:dyDescent="0.15"/>
    <row r="57" s="1" customFormat="1" hidden="1" x14ac:dyDescent="0.15"/>
  </sheetData>
  <mergeCells count="1">
    <mergeCell ref="A1:O1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52D9D-B7BE-4221-811C-20114DF41C92}">
  <dimension ref="A1:XFC57"/>
  <sheetViews>
    <sheetView topLeftCell="A13" zoomScale="60" zoomScaleNormal="60" workbookViewId="0">
      <selection activeCell="C28" sqref="C28"/>
    </sheetView>
  </sheetViews>
  <sheetFormatPr defaultColWidth="18.28515625" defaultRowHeight="11.25" customHeight="1" zeroHeight="1" x14ac:dyDescent="0.15"/>
  <cols>
    <col min="1" max="1" width="4.7109375" style="1" customWidth="1"/>
    <col min="2" max="2" width="4.7109375" style="44" customWidth="1"/>
    <col min="3" max="3" width="31.4257812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214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1">
        <v>1</v>
      </c>
      <c r="C3" s="32" t="s">
        <v>193</v>
      </c>
      <c r="D3" s="96">
        <v>54512.160000000003</v>
      </c>
      <c r="E3" s="96">
        <v>98170.32</v>
      </c>
      <c r="F3" s="34">
        <f>(D3-E3)/E3</f>
        <v>-0.44471852592514721</v>
      </c>
      <c r="G3" s="93">
        <v>6662</v>
      </c>
      <c r="H3" s="92">
        <v>118</v>
      </c>
      <c r="I3" s="92">
        <f t="shared" ref="I3:I12" si="0">G3/H3</f>
        <v>56.457627118644069</v>
      </c>
      <c r="J3" s="92">
        <v>16</v>
      </c>
      <c r="K3" s="92">
        <v>4</v>
      </c>
      <c r="L3" s="96">
        <v>802775.67</v>
      </c>
      <c r="M3" s="93">
        <v>111551</v>
      </c>
      <c r="N3" s="37">
        <v>45128</v>
      </c>
      <c r="O3" s="59" t="s">
        <v>160</v>
      </c>
      <c r="P3" s="89"/>
    </row>
    <row r="4" spans="1:18" s="39" customFormat="1" ht="24.6" customHeight="1" x14ac:dyDescent="0.2">
      <c r="A4" s="31">
        <v>2</v>
      </c>
      <c r="B4" s="31">
        <v>2</v>
      </c>
      <c r="C4" s="32" t="s">
        <v>189</v>
      </c>
      <c r="D4" s="96">
        <v>46294.52</v>
      </c>
      <c r="E4" s="96">
        <v>74518.62</v>
      </c>
      <c r="F4" s="34">
        <f>(D4-E4)/E4</f>
        <v>-0.37875231720608887</v>
      </c>
      <c r="G4" s="93">
        <v>6893</v>
      </c>
      <c r="H4" s="92">
        <v>131</v>
      </c>
      <c r="I4" s="92">
        <f t="shared" si="0"/>
        <v>52.618320610687022</v>
      </c>
      <c r="J4" s="92">
        <v>18</v>
      </c>
      <c r="K4" s="92">
        <v>4</v>
      </c>
      <c r="L4" s="96">
        <v>945166.2</v>
      </c>
      <c r="M4" s="93">
        <v>141288</v>
      </c>
      <c r="N4" s="37">
        <v>45128</v>
      </c>
      <c r="O4" s="59" t="s">
        <v>21</v>
      </c>
      <c r="P4" s="89"/>
    </row>
    <row r="5" spans="1:18" s="39" customFormat="1" ht="24.6" customHeight="1" x14ac:dyDescent="0.2">
      <c r="A5" s="31">
        <v>3</v>
      </c>
      <c r="B5" s="35" t="s">
        <v>15</v>
      </c>
      <c r="C5" s="32" t="s">
        <v>216</v>
      </c>
      <c r="D5" s="96">
        <v>33605.339999999997</v>
      </c>
      <c r="E5" s="34" t="s">
        <v>17</v>
      </c>
      <c r="F5" s="34" t="s">
        <v>17</v>
      </c>
      <c r="G5" s="93">
        <v>4790</v>
      </c>
      <c r="H5" s="92">
        <v>110</v>
      </c>
      <c r="I5" s="92">
        <f t="shared" si="0"/>
        <v>43.545454545454547</v>
      </c>
      <c r="J5" s="92">
        <v>14</v>
      </c>
      <c r="K5" s="92">
        <v>1</v>
      </c>
      <c r="L5" s="96">
        <v>49582.02</v>
      </c>
      <c r="M5" s="93">
        <v>6953</v>
      </c>
      <c r="N5" s="37">
        <v>45149</v>
      </c>
      <c r="O5" s="59" t="s">
        <v>23</v>
      </c>
      <c r="P5" s="87"/>
      <c r="R5" s="31"/>
    </row>
    <row r="6" spans="1:18" s="39" customFormat="1" ht="24.95" customHeight="1" x14ac:dyDescent="0.2">
      <c r="A6" s="31">
        <v>4</v>
      </c>
      <c r="B6" s="31">
        <v>3</v>
      </c>
      <c r="C6" s="32" t="s">
        <v>209</v>
      </c>
      <c r="D6" s="97">
        <v>22198.55</v>
      </c>
      <c r="E6" s="97">
        <v>37109.71</v>
      </c>
      <c r="F6" s="34">
        <f>(D6-E6)/E6</f>
        <v>-0.40181289479222554</v>
      </c>
      <c r="G6" s="94">
        <v>3284</v>
      </c>
      <c r="H6" s="92">
        <v>79</v>
      </c>
      <c r="I6" s="92">
        <f t="shared" si="0"/>
        <v>41.569620253164558</v>
      </c>
      <c r="J6" s="92">
        <v>11</v>
      </c>
      <c r="K6" s="92">
        <v>2</v>
      </c>
      <c r="L6" s="97">
        <v>103003.87</v>
      </c>
      <c r="M6" s="94">
        <v>16120</v>
      </c>
      <c r="N6" s="37">
        <v>45142</v>
      </c>
      <c r="O6" s="59" t="s">
        <v>21</v>
      </c>
      <c r="P6" s="89"/>
      <c r="R6" s="31"/>
    </row>
    <row r="7" spans="1:18" s="39" customFormat="1" ht="24.6" customHeight="1" x14ac:dyDescent="0.2">
      <c r="A7" s="31">
        <v>5</v>
      </c>
      <c r="B7" s="31">
        <v>5</v>
      </c>
      <c r="C7" s="32" t="s">
        <v>154</v>
      </c>
      <c r="D7" s="96">
        <v>9186.9</v>
      </c>
      <c r="E7" s="96">
        <v>9774.83</v>
      </c>
      <c r="F7" s="34">
        <f>(D7-E7)/E7</f>
        <v>-6.0147337600756259E-2</v>
      </c>
      <c r="G7" s="93">
        <v>1756</v>
      </c>
      <c r="H7" s="92">
        <v>48</v>
      </c>
      <c r="I7" s="92">
        <f t="shared" si="0"/>
        <v>36.583333333333336</v>
      </c>
      <c r="J7" s="92">
        <v>11</v>
      </c>
      <c r="K7" s="92">
        <v>9</v>
      </c>
      <c r="L7" s="96">
        <v>425179.49</v>
      </c>
      <c r="M7" s="93">
        <v>84007</v>
      </c>
      <c r="N7" s="37">
        <v>45093</v>
      </c>
      <c r="O7" s="59" t="s">
        <v>49</v>
      </c>
      <c r="P7" s="67"/>
      <c r="R7" s="31"/>
    </row>
    <row r="8" spans="1:18" s="39" customFormat="1" ht="24.95" customHeight="1" x14ac:dyDescent="0.2">
      <c r="A8" s="31">
        <v>6</v>
      </c>
      <c r="B8" s="31">
        <v>4</v>
      </c>
      <c r="C8" s="32" t="s">
        <v>210</v>
      </c>
      <c r="D8" s="97">
        <v>8788.52</v>
      </c>
      <c r="E8" s="97">
        <v>17305.099999999999</v>
      </c>
      <c r="F8" s="34">
        <f>(D8-E8)/E8</f>
        <v>-0.49214277871841244</v>
      </c>
      <c r="G8" s="94">
        <v>1621</v>
      </c>
      <c r="H8" s="92">
        <v>80</v>
      </c>
      <c r="I8" s="92">
        <f t="shared" si="0"/>
        <v>20.262499999999999</v>
      </c>
      <c r="J8" s="92">
        <v>16</v>
      </c>
      <c r="K8" s="92">
        <v>2</v>
      </c>
      <c r="L8" s="97">
        <v>45819.199999999997</v>
      </c>
      <c r="M8" s="94">
        <v>8962</v>
      </c>
      <c r="N8" s="37">
        <v>45142</v>
      </c>
      <c r="O8" s="59" t="s">
        <v>159</v>
      </c>
      <c r="P8" s="89"/>
      <c r="R8" s="31"/>
    </row>
    <row r="9" spans="1:18" s="39" customFormat="1" ht="24.95" customHeight="1" x14ac:dyDescent="0.2">
      <c r="A9" s="31">
        <v>7</v>
      </c>
      <c r="B9" s="31">
        <v>6</v>
      </c>
      <c r="C9" s="32" t="s">
        <v>184</v>
      </c>
      <c r="D9" s="96">
        <v>6634.6</v>
      </c>
      <c r="E9" s="96">
        <v>8223.8799999999992</v>
      </c>
      <c r="F9" s="34">
        <f>(D9-E9)/E9</f>
        <v>-0.19325184706002507</v>
      </c>
      <c r="G9" s="93">
        <v>1278</v>
      </c>
      <c r="H9" s="92">
        <v>50</v>
      </c>
      <c r="I9" s="92">
        <f t="shared" si="0"/>
        <v>25.56</v>
      </c>
      <c r="J9" s="92">
        <v>12</v>
      </c>
      <c r="K9" s="92">
        <v>5</v>
      </c>
      <c r="L9" s="96">
        <v>181876.93</v>
      </c>
      <c r="M9" s="93">
        <v>36536</v>
      </c>
      <c r="N9" s="37">
        <v>45121</v>
      </c>
      <c r="O9" s="59" t="s">
        <v>25</v>
      </c>
      <c r="P9" s="89"/>
      <c r="R9" s="31"/>
    </row>
    <row r="10" spans="1:18" s="39" customFormat="1" ht="24.95" customHeight="1" x14ac:dyDescent="0.2">
      <c r="A10" s="31">
        <v>8</v>
      </c>
      <c r="B10" s="31">
        <v>7</v>
      </c>
      <c r="C10" s="32" t="s">
        <v>186</v>
      </c>
      <c r="D10" s="96">
        <v>4505.57</v>
      </c>
      <c r="E10" s="96">
        <v>9130.1200000000008</v>
      </c>
      <c r="F10" s="34">
        <f>(D10-E10)/E10</f>
        <v>-0.50651579606839792</v>
      </c>
      <c r="G10" s="93">
        <v>643</v>
      </c>
      <c r="H10" s="92">
        <v>25</v>
      </c>
      <c r="I10" s="92">
        <f t="shared" si="0"/>
        <v>25.72</v>
      </c>
      <c r="J10" s="92">
        <v>7</v>
      </c>
      <c r="K10" s="92">
        <v>5</v>
      </c>
      <c r="L10" s="96">
        <v>179615.16</v>
      </c>
      <c r="M10" s="93">
        <v>26050</v>
      </c>
      <c r="N10" s="37">
        <v>45121</v>
      </c>
      <c r="O10" s="59" t="s">
        <v>159</v>
      </c>
      <c r="P10" s="89"/>
      <c r="R10" s="31"/>
    </row>
    <row r="11" spans="1:18" s="39" customFormat="1" ht="24.95" customHeight="1" x14ac:dyDescent="0.2">
      <c r="A11" s="31">
        <v>9</v>
      </c>
      <c r="B11" s="35" t="s">
        <v>15</v>
      </c>
      <c r="C11" s="32" t="s">
        <v>218</v>
      </c>
      <c r="D11" s="96">
        <v>4349.08</v>
      </c>
      <c r="E11" s="34" t="s">
        <v>17</v>
      </c>
      <c r="F11" s="34" t="s">
        <v>17</v>
      </c>
      <c r="G11" s="93">
        <v>881</v>
      </c>
      <c r="H11" s="92">
        <v>65</v>
      </c>
      <c r="I11" s="92">
        <f t="shared" si="0"/>
        <v>13.553846153846154</v>
      </c>
      <c r="J11" s="92">
        <v>16</v>
      </c>
      <c r="K11" s="92">
        <v>1</v>
      </c>
      <c r="L11" s="96">
        <v>4349.08</v>
      </c>
      <c r="M11" s="93">
        <v>881</v>
      </c>
      <c r="N11" s="37">
        <v>45149</v>
      </c>
      <c r="O11" s="59" t="s">
        <v>219</v>
      </c>
      <c r="P11" s="89"/>
      <c r="R11" s="31"/>
    </row>
    <row r="12" spans="1:18" s="43" customFormat="1" ht="24" customHeight="1" x14ac:dyDescent="0.2">
      <c r="A12" s="31">
        <v>10</v>
      </c>
      <c r="B12" s="35" t="s">
        <v>15</v>
      </c>
      <c r="C12" s="32" t="s">
        <v>220</v>
      </c>
      <c r="D12" s="96">
        <v>3301.5</v>
      </c>
      <c r="E12" s="34" t="s">
        <v>17</v>
      </c>
      <c r="F12" s="34" t="s">
        <v>17</v>
      </c>
      <c r="G12" s="93">
        <v>481</v>
      </c>
      <c r="H12" s="92">
        <v>38</v>
      </c>
      <c r="I12" s="92">
        <f t="shared" si="0"/>
        <v>12.657894736842104</v>
      </c>
      <c r="J12" s="92">
        <v>12</v>
      </c>
      <c r="K12" s="92">
        <v>1</v>
      </c>
      <c r="L12" s="96">
        <v>3301.5</v>
      </c>
      <c r="M12" s="93">
        <v>481</v>
      </c>
      <c r="N12" s="37">
        <v>45149</v>
      </c>
      <c r="O12" s="59" t="s">
        <v>219</v>
      </c>
      <c r="P12" s="89"/>
    </row>
    <row r="13" spans="1:18" s="43" customFormat="1" ht="24.6" customHeight="1" x14ac:dyDescent="0.2">
      <c r="A13" s="31">
        <v>11</v>
      </c>
      <c r="B13" s="35" t="s">
        <v>15</v>
      </c>
      <c r="C13" s="32" t="s">
        <v>217</v>
      </c>
      <c r="D13" s="96">
        <v>3246.94</v>
      </c>
      <c r="E13" s="34" t="s">
        <v>17</v>
      </c>
      <c r="F13" s="34" t="s">
        <v>17</v>
      </c>
      <c r="G13" s="93">
        <v>665</v>
      </c>
      <c r="H13" s="34" t="s">
        <v>17</v>
      </c>
      <c r="I13" s="34" t="s">
        <v>17</v>
      </c>
      <c r="J13" s="92">
        <v>9</v>
      </c>
      <c r="K13" s="92">
        <v>1</v>
      </c>
      <c r="L13" s="96">
        <v>3246.94</v>
      </c>
      <c r="M13" s="93">
        <v>665</v>
      </c>
      <c r="N13" s="37">
        <v>45149</v>
      </c>
      <c r="O13" s="59" t="s">
        <v>67</v>
      </c>
      <c r="P13" s="87"/>
    </row>
    <row r="14" spans="1:18" s="43" customFormat="1" ht="24.6" customHeight="1" x14ac:dyDescent="0.15">
      <c r="A14" s="31">
        <v>12</v>
      </c>
      <c r="B14" s="31">
        <v>8</v>
      </c>
      <c r="C14" s="32" t="s">
        <v>180</v>
      </c>
      <c r="D14" s="96">
        <v>2044.6</v>
      </c>
      <c r="E14" s="96">
        <v>5277.72</v>
      </c>
      <c r="F14" s="34">
        <f>(D14-E14)/E14</f>
        <v>-0.61259786422925055</v>
      </c>
      <c r="G14" s="93">
        <v>278</v>
      </c>
      <c r="H14" s="92">
        <v>10</v>
      </c>
      <c r="I14" s="92">
        <f t="shared" ref="I14:I25" si="1">G14/H14</f>
        <v>27.8</v>
      </c>
      <c r="J14" s="92">
        <v>5</v>
      </c>
      <c r="K14" s="92">
        <v>6</v>
      </c>
      <c r="L14" s="96">
        <v>209704.48</v>
      </c>
      <c r="M14" s="93">
        <v>29514</v>
      </c>
      <c r="N14" s="37">
        <v>45114</v>
      </c>
      <c r="O14" s="59" t="s">
        <v>23</v>
      </c>
      <c r="P14" s="67"/>
    </row>
    <row r="15" spans="1:18" s="43" customFormat="1" ht="24.6" customHeight="1" x14ac:dyDescent="0.2">
      <c r="A15" s="31">
        <v>13</v>
      </c>
      <c r="B15" s="31">
        <v>11</v>
      </c>
      <c r="C15" s="32" t="s">
        <v>200</v>
      </c>
      <c r="D15" s="96">
        <v>1008.55</v>
      </c>
      <c r="E15" s="96">
        <v>3669.14</v>
      </c>
      <c r="F15" s="34">
        <f>(D15-E15)/E15</f>
        <v>-0.72512632387971032</v>
      </c>
      <c r="G15" s="93">
        <v>149</v>
      </c>
      <c r="H15" s="92">
        <v>6</v>
      </c>
      <c r="I15" s="92">
        <f t="shared" si="1"/>
        <v>24.833333333333332</v>
      </c>
      <c r="J15" s="92">
        <v>3</v>
      </c>
      <c r="K15" s="92">
        <v>3</v>
      </c>
      <c r="L15" s="96">
        <v>33662.43</v>
      </c>
      <c r="M15" s="93">
        <v>4963</v>
      </c>
      <c r="N15" s="37">
        <v>45135</v>
      </c>
      <c r="O15" s="59" t="s">
        <v>25</v>
      </c>
      <c r="P15" s="89"/>
    </row>
    <row r="16" spans="1:18" s="43" customFormat="1" ht="24.6" customHeight="1" x14ac:dyDescent="0.2">
      <c r="A16" s="31">
        <v>14</v>
      </c>
      <c r="B16" s="31">
        <v>12</v>
      </c>
      <c r="C16" s="32" t="s">
        <v>175</v>
      </c>
      <c r="D16" s="97">
        <v>458.83</v>
      </c>
      <c r="E16" s="97">
        <v>1096.25</v>
      </c>
      <c r="F16" s="34">
        <f>(D16-E16)/E16</f>
        <v>-0.58145496009122011</v>
      </c>
      <c r="G16" s="94">
        <v>102</v>
      </c>
      <c r="H16" s="92">
        <v>9</v>
      </c>
      <c r="I16" s="92">
        <f t="shared" si="1"/>
        <v>11.333333333333334</v>
      </c>
      <c r="J16" s="92">
        <v>4</v>
      </c>
      <c r="K16" s="92">
        <v>7</v>
      </c>
      <c r="L16" s="97">
        <v>93504.24</v>
      </c>
      <c r="M16" s="94">
        <v>20034</v>
      </c>
      <c r="N16" s="37">
        <v>45107</v>
      </c>
      <c r="O16" s="59" t="s">
        <v>160</v>
      </c>
      <c r="P16" s="89"/>
    </row>
    <row r="17" spans="1:16" s="43" customFormat="1" ht="24.6" customHeight="1" x14ac:dyDescent="0.2">
      <c r="A17" s="31">
        <v>15</v>
      </c>
      <c r="B17" s="35" t="s">
        <v>17</v>
      </c>
      <c r="C17" s="32" t="s">
        <v>131</v>
      </c>
      <c r="D17" s="96">
        <v>345</v>
      </c>
      <c r="E17" s="34" t="s">
        <v>17</v>
      </c>
      <c r="F17" s="34" t="s">
        <v>17</v>
      </c>
      <c r="G17" s="93">
        <v>109</v>
      </c>
      <c r="H17" s="92">
        <v>7</v>
      </c>
      <c r="I17" s="92">
        <f t="shared" si="1"/>
        <v>15.571428571428571</v>
      </c>
      <c r="J17" s="92">
        <v>3</v>
      </c>
      <c r="K17" s="34" t="s">
        <v>17</v>
      </c>
      <c r="L17" s="96">
        <v>170330.08</v>
      </c>
      <c r="M17" s="93">
        <v>35280</v>
      </c>
      <c r="N17" s="37">
        <v>44925</v>
      </c>
      <c r="O17" s="59" t="s">
        <v>33</v>
      </c>
      <c r="P17" s="89"/>
    </row>
    <row r="18" spans="1:16" s="43" customFormat="1" ht="24" customHeight="1" x14ac:dyDescent="0.2">
      <c r="A18" s="31">
        <v>16</v>
      </c>
      <c r="B18" s="31">
        <v>21</v>
      </c>
      <c r="C18" s="32" t="s">
        <v>62</v>
      </c>
      <c r="D18" s="45">
        <v>311.8</v>
      </c>
      <c r="E18" s="45">
        <v>65.2</v>
      </c>
      <c r="F18" s="34">
        <f>(D18-E18)/E18</f>
        <v>3.7822085889570554</v>
      </c>
      <c r="G18" s="46">
        <v>60</v>
      </c>
      <c r="H18" s="92">
        <v>3</v>
      </c>
      <c r="I18" s="92">
        <f t="shared" si="1"/>
        <v>20</v>
      </c>
      <c r="J18" s="92">
        <v>2</v>
      </c>
      <c r="K18" s="92">
        <v>15</v>
      </c>
      <c r="L18" s="45">
        <v>45939.839999999997</v>
      </c>
      <c r="M18" s="94">
        <v>9546</v>
      </c>
      <c r="N18" s="37">
        <v>45044</v>
      </c>
      <c r="O18" s="59" t="s">
        <v>33</v>
      </c>
      <c r="P18" s="89"/>
    </row>
    <row r="19" spans="1:16" s="43" customFormat="1" ht="24.6" customHeight="1" x14ac:dyDescent="0.15">
      <c r="A19" s="31">
        <v>17</v>
      </c>
      <c r="B19" s="31">
        <v>13</v>
      </c>
      <c r="C19" s="32" t="s">
        <v>138</v>
      </c>
      <c r="D19" s="96">
        <v>307.5</v>
      </c>
      <c r="E19" s="96">
        <v>422.5</v>
      </c>
      <c r="F19" s="34">
        <f>(D19-E19)/E19</f>
        <v>-0.27218934911242604</v>
      </c>
      <c r="G19" s="93">
        <v>124</v>
      </c>
      <c r="H19" s="92">
        <v>6</v>
      </c>
      <c r="I19" s="92">
        <f t="shared" si="1"/>
        <v>20.666666666666668</v>
      </c>
      <c r="J19" s="92">
        <v>2</v>
      </c>
      <c r="K19" s="34" t="s">
        <v>17</v>
      </c>
      <c r="L19" s="96">
        <v>1343952.74</v>
      </c>
      <c r="M19" s="93">
        <v>250014</v>
      </c>
      <c r="N19" s="37">
        <v>44743</v>
      </c>
      <c r="O19" s="59" t="s">
        <v>160</v>
      </c>
      <c r="P19" s="67"/>
    </row>
    <row r="20" spans="1:16" s="43" customFormat="1" ht="24.6" customHeight="1" x14ac:dyDescent="0.15">
      <c r="A20" s="31">
        <v>18</v>
      </c>
      <c r="B20" s="31">
        <v>17</v>
      </c>
      <c r="C20" s="41" t="s">
        <v>145</v>
      </c>
      <c r="D20" s="33">
        <v>284</v>
      </c>
      <c r="E20" s="33">
        <v>295</v>
      </c>
      <c r="F20" s="34">
        <f>(D20-E20)/E20</f>
        <v>-3.7288135593220341E-2</v>
      </c>
      <c r="G20" s="35">
        <v>52</v>
      </c>
      <c r="H20" s="36">
        <v>3</v>
      </c>
      <c r="I20" s="36">
        <f t="shared" si="1"/>
        <v>17.333333333333332</v>
      </c>
      <c r="J20" s="35">
        <v>2</v>
      </c>
      <c r="K20" s="36">
        <v>10</v>
      </c>
      <c r="L20" s="33">
        <v>56552.78</v>
      </c>
      <c r="M20" s="35">
        <v>9106</v>
      </c>
      <c r="N20" s="37">
        <v>45086</v>
      </c>
      <c r="O20" s="59" t="s">
        <v>160</v>
      </c>
      <c r="P20" s="67"/>
    </row>
    <row r="21" spans="1:16" s="43" customFormat="1" ht="24.6" customHeight="1" x14ac:dyDescent="0.15">
      <c r="A21" s="31">
        <v>19</v>
      </c>
      <c r="B21" s="31">
        <v>15</v>
      </c>
      <c r="C21" s="32" t="s">
        <v>211</v>
      </c>
      <c r="D21" s="96">
        <v>237.5</v>
      </c>
      <c r="E21" s="96">
        <v>191.9</v>
      </c>
      <c r="F21" s="34">
        <f>(D21-E21)/E21</f>
        <v>0.23762376237623759</v>
      </c>
      <c r="G21" s="93">
        <v>95</v>
      </c>
      <c r="H21" s="92">
        <v>6</v>
      </c>
      <c r="I21" s="92">
        <f t="shared" si="1"/>
        <v>15.833333333333334</v>
      </c>
      <c r="J21" s="92">
        <v>2</v>
      </c>
      <c r="K21" s="34" t="s">
        <v>17</v>
      </c>
      <c r="L21" s="96">
        <v>423929.07</v>
      </c>
      <c r="M21" s="93">
        <v>83502</v>
      </c>
      <c r="N21" s="37">
        <v>44652</v>
      </c>
      <c r="O21" s="59" t="s">
        <v>159</v>
      </c>
      <c r="P21" s="67"/>
    </row>
    <row r="22" spans="1:16" s="43" customFormat="1" ht="24.6" customHeight="1" x14ac:dyDescent="0.2">
      <c r="A22" s="31">
        <v>20</v>
      </c>
      <c r="B22" s="31">
        <v>14</v>
      </c>
      <c r="C22" s="32" t="s">
        <v>42</v>
      </c>
      <c r="D22" s="96">
        <v>219.9</v>
      </c>
      <c r="E22" s="96">
        <v>583.9</v>
      </c>
      <c r="F22" s="34">
        <f>(D22-E22)/E22</f>
        <v>-0.62339441685220076</v>
      </c>
      <c r="G22" s="93">
        <v>31</v>
      </c>
      <c r="H22" s="92">
        <v>3</v>
      </c>
      <c r="I22" s="92">
        <f t="shared" si="1"/>
        <v>10.333333333333334</v>
      </c>
      <c r="J22" s="92">
        <v>1</v>
      </c>
      <c r="K22" s="92">
        <v>23</v>
      </c>
      <c r="L22" s="96">
        <v>241529.53000000009</v>
      </c>
      <c r="M22" s="93">
        <v>37836</v>
      </c>
      <c r="N22" s="37">
        <v>44988</v>
      </c>
      <c r="O22" s="59" t="s">
        <v>43</v>
      </c>
      <c r="P22" s="89"/>
    </row>
    <row r="23" spans="1:16" s="43" customFormat="1" ht="24.6" customHeight="1" x14ac:dyDescent="0.2">
      <c r="A23" s="31">
        <v>21</v>
      </c>
      <c r="B23" s="35" t="s">
        <v>17</v>
      </c>
      <c r="C23" s="32" t="s">
        <v>54</v>
      </c>
      <c r="D23" s="96">
        <v>200</v>
      </c>
      <c r="E23" s="34" t="s">
        <v>17</v>
      </c>
      <c r="F23" s="34" t="s">
        <v>17</v>
      </c>
      <c r="G23" s="93">
        <v>80</v>
      </c>
      <c r="H23" s="92">
        <v>6</v>
      </c>
      <c r="I23" s="92">
        <f t="shared" si="1"/>
        <v>13.333333333333334</v>
      </c>
      <c r="J23" s="92">
        <v>2</v>
      </c>
      <c r="K23" s="34" t="s">
        <v>17</v>
      </c>
      <c r="L23" s="96">
        <v>73394.010000000009</v>
      </c>
      <c r="M23" s="93">
        <v>15492</v>
      </c>
      <c r="N23" s="37">
        <v>44981</v>
      </c>
      <c r="O23" s="59" t="s">
        <v>33</v>
      </c>
      <c r="P23" s="89"/>
    </row>
    <row r="24" spans="1:16" s="43" customFormat="1" ht="24.6" customHeight="1" x14ac:dyDescent="0.2">
      <c r="A24" s="31">
        <v>22</v>
      </c>
      <c r="B24" s="35" t="s">
        <v>17</v>
      </c>
      <c r="C24" s="32" t="s">
        <v>72</v>
      </c>
      <c r="D24" s="96">
        <v>192.1</v>
      </c>
      <c r="E24" s="34" t="s">
        <v>17</v>
      </c>
      <c r="F24" s="34" t="s">
        <v>17</v>
      </c>
      <c r="G24" s="93">
        <v>36</v>
      </c>
      <c r="H24" s="92">
        <v>2</v>
      </c>
      <c r="I24" s="92">
        <f t="shared" si="1"/>
        <v>18</v>
      </c>
      <c r="J24" s="92">
        <v>2</v>
      </c>
      <c r="K24" s="34" t="s">
        <v>17</v>
      </c>
      <c r="L24" s="96">
        <v>61948.1</v>
      </c>
      <c r="M24" s="93">
        <v>8354</v>
      </c>
      <c r="N24" s="37">
        <v>45012</v>
      </c>
      <c r="O24" s="59" t="s">
        <v>73</v>
      </c>
      <c r="P24" s="87"/>
    </row>
    <row r="25" spans="1:16" s="43" customFormat="1" ht="24.6" customHeight="1" x14ac:dyDescent="0.2">
      <c r="A25" s="31">
        <v>23</v>
      </c>
      <c r="B25" s="35" t="s">
        <v>17</v>
      </c>
      <c r="C25" s="32" t="s">
        <v>130</v>
      </c>
      <c r="D25" s="96">
        <v>146.9</v>
      </c>
      <c r="E25" s="34" t="s">
        <v>17</v>
      </c>
      <c r="F25" s="34" t="s">
        <v>17</v>
      </c>
      <c r="G25" s="93">
        <v>21</v>
      </c>
      <c r="H25" s="92">
        <v>2</v>
      </c>
      <c r="I25" s="92">
        <f t="shared" si="1"/>
        <v>10.5</v>
      </c>
      <c r="J25" s="92">
        <v>1</v>
      </c>
      <c r="K25" s="34" t="s">
        <v>17</v>
      </c>
      <c r="L25" s="96">
        <v>9040.1</v>
      </c>
      <c r="M25" s="93">
        <v>1394</v>
      </c>
      <c r="N25" s="37">
        <v>45079</v>
      </c>
      <c r="O25" s="59" t="s">
        <v>33</v>
      </c>
      <c r="P25" s="89"/>
    </row>
    <row r="26" spans="1:16" s="43" customFormat="1" ht="24.6" customHeight="1" x14ac:dyDescent="0.2">
      <c r="A26" s="31">
        <v>24</v>
      </c>
      <c r="B26" s="31">
        <v>10</v>
      </c>
      <c r="C26" s="32" t="s">
        <v>197</v>
      </c>
      <c r="D26" s="96">
        <v>137</v>
      </c>
      <c r="E26" s="96">
        <v>2658</v>
      </c>
      <c r="F26" s="34">
        <f>(D26-E26)/E26</f>
        <v>-0.94845748683220465</v>
      </c>
      <c r="G26" s="93">
        <v>28</v>
      </c>
      <c r="H26" s="92" t="s">
        <v>17</v>
      </c>
      <c r="I26" s="92" t="s">
        <v>17</v>
      </c>
      <c r="J26" s="92">
        <v>3</v>
      </c>
      <c r="K26" s="92">
        <v>4</v>
      </c>
      <c r="L26" s="96">
        <v>47215</v>
      </c>
      <c r="M26" s="93">
        <v>10197</v>
      </c>
      <c r="N26" s="37">
        <v>45128</v>
      </c>
      <c r="O26" s="59" t="s">
        <v>28</v>
      </c>
      <c r="P26" s="89"/>
    </row>
    <row r="27" spans="1:16" s="43" customFormat="1" ht="24.6" customHeight="1" x14ac:dyDescent="0.2">
      <c r="A27" s="31">
        <v>25</v>
      </c>
      <c r="B27" s="35" t="s">
        <v>17</v>
      </c>
      <c r="C27" s="32" t="s">
        <v>47</v>
      </c>
      <c r="D27" s="96">
        <v>105</v>
      </c>
      <c r="E27" s="34" t="s">
        <v>17</v>
      </c>
      <c r="F27" s="34" t="s">
        <v>17</v>
      </c>
      <c r="G27" s="93">
        <v>20</v>
      </c>
      <c r="H27" s="92">
        <v>1</v>
      </c>
      <c r="I27" s="92">
        <f>G27/H27</f>
        <v>20</v>
      </c>
      <c r="J27" s="92">
        <v>1</v>
      </c>
      <c r="K27" s="34" t="s">
        <v>17</v>
      </c>
      <c r="L27" s="96">
        <v>281805.03999999998</v>
      </c>
      <c r="M27" s="93">
        <v>47479</v>
      </c>
      <c r="N27" s="37">
        <v>44973</v>
      </c>
      <c r="O27" s="59" t="s">
        <v>25</v>
      </c>
      <c r="P27" s="89"/>
    </row>
    <row r="28" spans="1:16" s="43" customFormat="1" ht="24.6" customHeight="1" x14ac:dyDescent="0.2">
      <c r="A28" s="31">
        <v>26</v>
      </c>
      <c r="B28" s="35" t="s">
        <v>17</v>
      </c>
      <c r="C28" s="32" t="s">
        <v>74</v>
      </c>
      <c r="D28" s="96">
        <v>94.3</v>
      </c>
      <c r="E28" s="34" t="s">
        <v>17</v>
      </c>
      <c r="F28" s="34" t="s">
        <v>17</v>
      </c>
      <c r="G28" s="93">
        <v>13</v>
      </c>
      <c r="H28" s="92">
        <v>1</v>
      </c>
      <c r="I28" s="92">
        <f>G28/H28</f>
        <v>13</v>
      </c>
      <c r="J28" s="92">
        <v>1</v>
      </c>
      <c r="K28" s="34" t="s">
        <v>17</v>
      </c>
      <c r="L28" s="96">
        <v>46620.5</v>
      </c>
      <c r="M28" s="93">
        <v>5474</v>
      </c>
      <c r="N28" s="37">
        <v>45012</v>
      </c>
      <c r="O28" s="59" t="s">
        <v>73</v>
      </c>
      <c r="P28" s="87"/>
    </row>
    <row r="29" spans="1:16" s="43" customFormat="1" ht="24.6" customHeight="1" x14ac:dyDescent="0.2">
      <c r="A29" s="31">
        <v>27</v>
      </c>
      <c r="B29" s="35" t="s">
        <v>17</v>
      </c>
      <c r="C29" s="32" t="s">
        <v>48</v>
      </c>
      <c r="D29" s="96">
        <v>62</v>
      </c>
      <c r="E29" s="34" t="s">
        <v>17</v>
      </c>
      <c r="F29" s="34" t="s">
        <v>17</v>
      </c>
      <c r="G29" s="93">
        <v>12</v>
      </c>
      <c r="H29" s="92">
        <v>1</v>
      </c>
      <c r="I29" s="92">
        <f>G29/H29</f>
        <v>12</v>
      </c>
      <c r="J29" s="92">
        <v>1</v>
      </c>
      <c r="K29" s="34" t="s">
        <v>17</v>
      </c>
      <c r="L29" s="96">
        <v>35640.9</v>
      </c>
      <c r="M29" s="93">
        <v>5729</v>
      </c>
      <c r="N29" s="37">
        <v>44960</v>
      </c>
      <c r="O29" s="59" t="s">
        <v>49</v>
      </c>
      <c r="P29" s="89"/>
    </row>
    <row r="30" spans="1:16" s="51" customFormat="1" ht="24" customHeight="1" x14ac:dyDescent="0.2">
      <c r="B30" s="78"/>
      <c r="C30" s="77" t="s">
        <v>221</v>
      </c>
      <c r="D30" s="52">
        <f>SUBTOTAL(109,Table132456789101112131415171618[Pajamos 
(GBO)])</f>
        <v>202778.65999999992</v>
      </c>
      <c r="E30" s="52" t="s">
        <v>215</v>
      </c>
      <c r="F30" s="81">
        <f t="shared" ref="F30" si="2">(D30-E30)/E30</f>
        <v>-0.25916131742871268</v>
      </c>
      <c r="G30" s="78">
        <f>SUBTOTAL(109,Table132456789101112131415171618[Žiūrovų sk. 
(ADM)])</f>
        <v>30164</v>
      </c>
      <c r="H30" s="70"/>
      <c r="I30" s="70"/>
      <c r="J30" s="70"/>
      <c r="K30" s="70"/>
      <c r="L30" s="52"/>
      <c r="M30" s="78"/>
      <c r="N30" s="53"/>
      <c r="O30" s="79" t="s">
        <v>56</v>
      </c>
      <c r="P30" s="85"/>
    </row>
    <row r="31" spans="1:16" hidden="1" x14ac:dyDescent="0.15">
      <c r="F31" s="4"/>
      <c r="L31" s="3"/>
    </row>
    <row r="32" spans="1:16" hidden="1" x14ac:dyDescent="0.15">
      <c r="F32" s="4"/>
      <c r="L32" s="3"/>
    </row>
    <row r="33" spans="1:16383" hidden="1" x14ac:dyDescent="0.15">
      <c r="F33" s="4"/>
      <c r="L33" s="3"/>
    </row>
    <row r="34" spans="1:16383" hidden="1" x14ac:dyDescent="0.15">
      <c r="F34" s="4"/>
      <c r="L34" s="3"/>
    </row>
    <row r="35" spans="1:16383" hidden="1" x14ac:dyDescent="0.15">
      <c r="F35" s="4"/>
      <c r="L35" s="3"/>
    </row>
    <row r="36" spans="1:16383" hidden="1" x14ac:dyDescent="0.15">
      <c r="F36" s="4"/>
      <c r="L36" s="3"/>
    </row>
    <row r="37" spans="1:16383" hidden="1" x14ac:dyDescent="0.15">
      <c r="F37" s="4"/>
      <c r="L37" s="3"/>
    </row>
    <row r="38" spans="1:16383" hidden="1" x14ac:dyDescent="0.15">
      <c r="F38" s="4"/>
      <c r="L38" s="3"/>
    </row>
    <row r="39" spans="1:16383" hidden="1" x14ac:dyDescent="0.15">
      <c r="F39" s="4"/>
      <c r="L39" s="3"/>
    </row>
    <row r="40" spans="1:16383" hidden="1" x14ac:dyDescent="0.15">
      <c r="F40" s="4"/>
      <c r="L40" s="3"/>
    </row>
    <row r="41" spans="1:16383" hidden="1" x14ac:dyDescent="0.15">
      <c r="F41" s="4"/>
      <c r="L41" s="3"/>
    </row>
    <row r="42" spans="1:16383" hidden="1" x14ac:dyDescent="0.15">
      <c r="F42" s="4"/>
      <c r="L42" s="3"/>
    </row>
    <row r="43" spans="1:16383" hidden="1" x14ac:dyDescent="0.15">
      <c r="F43" s="4"/>
    </row>
    <row r="44" spans="1:16383" s="44" customFormat="1" hidden="1" x14ac:dyDescent="0.15">
      <c r="A44" s="1"/>
      <c r="C44" s="1"/>
      <c r="D44" s="5"/>
      <c r="E44" s="5"/>
      <c r="F44" s="4"/>
      <c r="K44" s="66"/>
      <c r="L44" s="5"/>
      <c r="N44" s="12"/>
      <c r="O44" s="6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</row>
    <row r="45" spans="1:16383" s="44" customFormat="1" hidden="1" x14ac:dyDescent="0.15">
      <c r="A45" s="1"/>
      <c r="C45" s="1"/>
      <c r="D45" s="5"/>
      <c r="E45" s="5"/>
      <c r="F45" s="4"/>
      <c r="K45" s="66"/>
      <c r="L45" s="5"/>
      <c r="N45" s="12"/>
      <c r="O45" s="6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</row>
    <row r="46" spans="1:16383" s="44" customFormat="1" hidden="1" x14ac:dyDescent="0.15">
      <c r="A46" s="1"/>
      <c r="C46" s="1"/>
      <c r="D46" s="5"/>
      <c r="E46" s="5"/>
      <c r="F46" s="4"/>
      <c r="K46" s="66"/>
      <c r="L46" s="5"/>
      <c r="N46" s="12"/>
      <c r="O46" s="6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spans="1:16383" hidden="1" x14ac:dyDescent="0.15">
      <c r="B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6383" hidden="1" x14ac:dyDescent="0.15">
      <c r="B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="1" customFormat="1" hidden="1" x14ac:dyDescent="0.15"/>
    <row r="50" s="1" customFormat="1" hidden="1" x14ac:dyDescent="0.15"/>
    <row r="51" s="1" customFormat="1" hidden="1" x14ac:dyDescent="0.15"/>
    <row r="52" s="1" customFormat="1" hidden="1" x14ac:dyDescent="0.15"/>
    <row r="53" s="1" customFormat="1" hidden="1" x14ac:dyDescent="0.15"/>
    <row r="54" s="1" customFormat="1" hidden="1" x14ac:dyDescent="0.15"/>
    <row r="55" s="1" customFormat="1" hidden="1" x14ac:dyDescent="0.15"/>
    <row r="56" s="1" customFormat="1" hidden="1" x14ac:dyDescent="0.15"/>
    <row r="57" s="1" customFormat="1" hidden="1" x14ac:dyDescent="0.15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3533B-10C3-46E0-9F27-A63934700D4B}">
  <dimension ref="A1:XFC55"/>
  <sheetViews>
    <sheetView topLeftCell="A3" zoomScale="60" zoomScaleNormal="60" workbookViewId="0">
      <selection activeCell="N22" sqref="N22:O22"/>
    </sheetView>
  </sheetViews>
  <sheetFormatPr defaultColWidth="18.28515625" defaultRowHeight="11.25" zeroHeight="1" x14ac:dyDescent="0.15"/>
  <cols>
    <col min="1" max="1" width="4.7109375" style="1" customWidth="1"/>
    <col min="2" max="2" width="4.7109375" style="44" customWidth="1"/>
    <col min="3" max="3" width="31.4257812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3" t="s">
        <v>207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5">
        <v>1</v>
      </c>
      <c r="C3" s="32" t="s">
        <v>193</v>
      </c>
      <c r="D3" s="96">
        <v>98170.32</v>
      </c>
      <c r="E3" s="96">
        <v>147512.68</v>
      </c>
      <c r="F3" s="34">
        <f>(D3-E3)/E3</f>
        <v>-0.33449571928325067</v>
      </c>
      <c r="G3" s="93">
        <v>12281</v>
      </c>
      <c r="H3" s="92">
        <v>146</v>
      </c>
      <c r="I3" s="92">
        <f>G3/H3</f>
        <v>84.11643835616438</v>
      </c>
      <c r="J3" s="92">
        <v>18</v>
      </c>
      <c r="K3" s="92">
        <v>3</v>
      </c>
      <c r="L3" s="96">
        <v>660494</v>
      </c>
      <c r="M3" s="93">
        <v>92326</v>
      </c>
      <c r="N3" s="37">
        <v>45128</v>
      </c>
      <c r="O3" s="59" t="s">
        <v>160</v>
      </c>
      <c r="P3" s="87"/>
    </row>
    <row r="4" spans="1:18" s="39" customFormat="1" ht="24.6" customHeight="1" x14ac:dyDescent="0.2">
      <c r="A4" s="31">
        <v>2</v>
      </c>
      <c r="B4" s="35">
        <v>2</v>
      </c>
      <c r="C4" s="32" t="s">
        <v>189</v>
      </c>
      <c r="D4" s="96">
        <v>74518.62</v>
      </c>
      <c r="E4" s="96">
        <v>132198.19</v>
      </c>
      <c r="F4" s="34">
        <f>(D4-E4)/E4</f>
        <v>-0.43631134435350444</v>
      </c>
      <c r="G4" s="93">
        <v>10706</v>
      </c>
      <c r="H4" s="92">
        <v>162</v>
      </c>
      <c r="I4" s="92">
        <f>G4/H4</f>
        <v>66.086419753086417</v>
      </c>
      <c r="J4" s="92">
        <v>15</v>
      </c>
      <c r="K4" s="92">
        <v>3</v>
      </c>
      <c r="L4" s="96">
        <v>811326.71</v>
      </c>
      <c r="M4" s="93">
        <v>120100</v>
      </c>
      <c r="N4" s="37">
        <v>45128</v>
      </c>
      <c r="O4" s="59" t="s">
        <v>21</v>
      </c>
      <c r="P4" s="87"/>
    </row>
    <row r="5" spans="1:18" s="39" customFormat="1" ht="24.6" customHeight="1" x14ac:dyDescent="0.2">
      <c r="A5" s="31">
        <v>3</v>
      </c>
      <c r="B5" s="35" t="s">
        <v>15</v>
      </c>
      <c r="C5" s="32" t="s">
        <v>209</v>
      </c>
      <c r="D5" s="97">
        <v>37109.71</v>
      </c>
      <c r="E5" s="45" t="s">
        <v>17</v>
      </c>
      <c r="F5" s="34" t="s">
        <v>17</v>
      </c>
      <c r="G5" s="94">
        <v>5648</v>
      </c>
      <c r="H5" s="92">
        <v>96</v>
      </c>
      <c r="I5" s="92">
        <f>G5/H5</f>
        <v>58.833333333333336</v>
      </c>
      <c r="J5" s="92">
        <v>14</v>
      </c>
      <c r="K5" s="92">
        <v>1</v>
      </c>
      <c r="L5" s="97">
        <v>43458.879999999997</v>
      </c>
      <c r="M5" s="94">
        <v>6616</v>
      </c>
      <c r="N5" s="37">
        <v>45142</v>
      </c>
      <c r="O5" s="59" t="s">
        <v>21</v>
      </c>
      <c r="P5" s="87"/>
      <c r="R5" s="31"/>
    </row>
    <row r="6" spans="1:18" s="39" customFormat="1" ht="24.95" customHeight="1" x14ac:dyDescent="0.2">
      <c r="A6" s="31">
        <v>4</v>
      </c>
      <c r="B6" s="35" t="s">
        <v>15</v>
      </c>
      <c r="C6" s="32" t="s">
        <v>210</v>
      </c>
      <c r="D6" s="97">
        <v>17305.099999999999</v>
      </c>
      <c r="E6" s="97" t="s">
        <v>17</v>
      </c>
      <c r="F6" s="34" t="s">
        <v>17</v>
      </c>
      <c r="G6" s="94">
        <v>3239</v>
      </c>
      <c r="H6" s="92">
        <v>123</v>
      </c>
      <c r="I6" s="92"/>
      <c r="J6" s="92">
        <v>18</v>
      </c>
      <c r="K6" s="92">
        <v>1</v>
      </c>
      <c r="L6" s="97">
        <v>17959</v>
      </c>
      <c r="M6" s="94">
        <v>3379</v>
      </c>
      <c r="N6" s="37">
        <v>45142</v>
      </c>
      <c r="O6" s="59" t="s">
        <v>159</v>
      </c>
      <c r="P6" s="87"/>
      <c r="R6" s="31"/>
    </row>
    <row r="7" spans="1:18" s="39" customFormat="1" ht="24.6" customHeight="1" x14ac:dyDescent="0.2">
      <c r="A7" s="31">
        <v>5</v>
      </c>
      <c r="B7" s="35">
        <v>3</v>
      </c>
      <c r="C7" s="32" t="s">
        <v>154</v>
      </c>
      <c r="D7" s="96">
        <v>9774.83</v>
      </c>
      <c r="E7" s="96">
        <v>16853.95</v>
      </c>
      <c r="F7" s="34">
        <f t="shared" ref="F7:F16" si="0">(D7-E7)/E7</f>
        <v>-0.4200273526384023</v>
      </c>
      <c r="G7" s="93">
        <v>1848</v>
      </c>
      <c r="H7" s="92">
        <v>46</v>
      </c>
      <c r="I7" s="92">
        <f t="shared" ref="I7:I12" si="1">G7/H7</f>
        <v>40.173913043478258</v>
      </c>
      <c r="J7" s="92">
        <v>10</v>
      </c>
      <c r="K7" s="92">
        <v>8</v>
      </c>
      <c r="L7" s="96">
        <v>403055</v>
      </c>
      <c r="M7" s="93">
        <v>79510</v>
      </c>
      <c r="N7" s="37">
        <v>45093</v>
      </c>
      <c r="O7" s="59" t="s">
        <v>49</v>
      </c>
      <c r="P7" s="86"/>
      <c r="R7" s="31"/>
    </row>
    <row r="8" spans="1:18" s="39" customFormat="1" ht="24.95" customHeight="1" x14ac:dyDescent="0.2">
      <c r="A8" s="31">
        <v>7</v>
      </c>
      <c r="B8" s="35">
        <v>5</v>
      </c>
      <c r="C8" s="32" t="s">
        <v>186</v>
      </c>
      <c r="D8" s="96">
        <v>9130.1200000000008</v>
      </c>
      <c r="E8" s="96">
        <v>13934.74</v>
      </c>
      <c r="F8" s="34">
        <f t="shared" si="0"/>
        <v>-0.34479437721837647</v>
      </c>
      <c r="G8" s="93">
        <v>1302</v>
      </c>
      <c r="H8" s="92">
        <v>41</v>
      </c>
      <c r="I8" s="92">
        <f t="shared" si="1"/>
        <v>31.756097560975611</v>
      </c>
      <c r="J8" s="92">
        <v>8</v>
      </c>
      <c r="K8" s="92">
        <v>4</v>
      </c>
      <c r="L8" s="96">
        <v>166710</v>
      </c>
      <c r="M8" s="93">
        <v>24089</v>
      </c>
      <c r="N8" s="37">
        <v>45121</v>
      </c>
      <c r="O8" s="59" t="s">
        <v>159</v>
      </c>
      <c r="P8" s="89"/>
      <c r="R8" s="31"/>
    </row>
    <row r="9" spans="1:18" s="39" customFormat="1" ht="24.95" customHeight="1" x14ac:dyDescent="0.2">
      <c r="A9" s="31">
        <v>6</v>
      </c>
      <c r="B9" s="35">
        <v>4</v>
      </c>
      <c r="C9" s="14" t="s">
        <v>184</v>
      </c>
      <c r="D9" s="96">
        <v>8223.8799999999992</v>
      </c>
      <c r="E9" s="96">
        <v>14069.29</v>
      </c>
      <c r="F9" s="34">
        <f t="shared" si="0"/>
        <v>-0.41547299117439485</v>
      </c>
      <c r="G9" s="93">
        <v>1657</v>
      </c>
      <c r="H9" s="92">
        <v>62</v>
      </c>
      <c r="I9" s="92">
        <f t="shared" si="1"/>
        <v>26.725806451612904</v>
      </c>
      <c r="J9" s="92">
        <v>15</v>
      </c>
      <c r="K9" s="92">
        <v>4</v>
      </c>
      <c r="L9" s="96">
        <v>164079.1</v>
      </c>
      <c r="M9" s="93">
        <v>32768</v>
      </c>
      <c r="N9" s="37">
        <v>45121</v>
      </c>
      <c r="O9" s="59" t="s">
        <v>25</v>
      </c>
      <c r="P9" s="87"/>
      <c r="R9" s="31"/>
    </row>
    <row r="10" spans="1:18" s="39" customFormat="1" ht="24.95" customHeight="1" x14ac:dyDescent="0.2">
      <c r="A10" s="31">
        <v>8</v>
      </c>
      <c r="B10" s="35">
        <v>8</v>
      </c>
      <c r="C10" s="32" t="s">
        <v>180</v>
      </c>
      <c r="D10" s="96">
        <v>5277.72</v>
      </c>
      <c r="E10" s="96">
        <v>9007.57</v>
      </c>
      <c r="F10" s="34">
        <f t="shared" si="0"/>
        <v>-0.41407949091708413</v>
      </c>
      <c r="G10" s="93">
        <v>713</v>
      </c>
      <c r="H10" s="92">
        <v>21</v>
      </c>
      <c r="I10" s="92">
        <f t="shared" si="1"/>
        <v>33.952380952380949</v>
      </c>
      <c r="J10" s="92">
        <v>6</v>
      </c>
      <c r="K10" s="92">
        <v>5</v>
      </c>
      <c r="L10" s="96">
        <v>201351.55</v>
      </c>
      <c r="M10" s="93">
        <v>28322</v>
      </c>
      <c r="N10" s="37">
        <v>45114</v>
      </c>
      <c r="O10" s="59" t="s">
        <v>23</v>
      </c>
      <c r="P10" s="86"/>
      <c r="R10" s="31"/>
    </row>
    <row r="11" spans="1:18" s="39" customFormat="1" ht="24.95" customHeight="1" x14ac:dyDescent="0.2">
      <c r="A11" s="31">
        <v>9</v>
      </c>
      <c r="B11" s="35">
        <v>7</v>
      </c>
      <c r="C11" s="32" t="s">
        <v>202</v>
      </c>
      <c r="D11" s="96">
        <v>3830.22</v>
      </c>
      <c r="E11" s="96">
        <v>10020.950000000001</v>
      </c>
      <c r="F11" s="34">
        <f t="shared" si="0"/>
        <v>-0.61777875351139377</v>
      </c>
      <c r="G11" s="93">
        <v>600</v>
      </c>
      <c r="H11" s="92">
        <v>26</v>
      </c>
      <c r="I11" s="92">
        <f t="shared" si="1"/>
        <v>23.076923076923077</v>
      </c>
      <c r="J11" s="92">
        <v>9</v>
      </c>
      <c r="K11" s="92">
        <v>2</v>
      </c>
      <c r="L11" s="96">
        <v>23433</v>
      </c>
      <c r="M11" s="93">
        <v>3806</v>
      </c>
      <c r="N11" s="37">
        <v>45135</v>
      </c>
      <c r="O11" s="59" t="s">
        <v>49</v>
      </c>
      <c r="P11" s="87"/>
      <c r="R11" s="31"/>
    </row>
    <row r="12" spans="1:18" s="39" customFormat="1" ht="24.95" customHeight="1" x14ac:dyDescent="0.2">
      <c r="A12" s="31">
        <v>11</v>
      </c>
      <c r="B12" s="35">
        <v>6</v>
      </c>
      <c r="C12" s="32" t="s">
        <v>200</v>
      </c>
      <c r="D12" s="96">
        <v>3669.14</v>
      </c>
      <c r="E12" s="96">
        <v>11969.94</v>
      </c>
      <c r="F12" s="34">
        <f t="shared" si="0"/>
        <v>-0.69347047687791252</v>
      </c>
      <c r="G12" s="93">
        <v>512</v>
      </c>
      <c r="H12" s="92">
        <v>21</v>
      </c>
      <c r="I12" s="92">
        <f t="shared" si="1"/>
        <v>24.38095238095238</v>
      </c>
      <c r="J12" s="92">
        <v>7</v>
      </c>
      <c r="K12" s="92">
        <v>2</v>
      </c>
      <c r="L12" s="96">
        <v>27897.93</v>
      </c>
      <c r="M12" s="93">
        <v>4104</v>
      </c>
      <c r="N12" s="37">
        <v>45135</v>
      </c>
      <c r="O12" s="59" t="s">
        <v>25</v>
      </c>
      <c r="P12" s="87"/>
      <c r="R12" s="31"/>
    </row>
    <row r="13" spans="1:18" s="43" customFormat="1" ht="24" customHeight="1" x14ac:dyDescent="0.2">
      <c r="A13" s="31">
        <v>10</v>
      </c>
      <c r="B13" s="35">
        <v>9</v>
      </c>
      <c r="C13" s="32" t="s">
        <v>197</v>
      </c>
      <c r="D13" s="96">
        <v>2658</v>
      </c>
      <c r="E13" s="96">
        <v>7486</v>
      </c>
      <c r="F13" s="34">
        <f t="shared" si="0"/>
        <v>-0.64493721613678867</v>
      </c>
      <c r="G13" s="93">
        <v>569</v>
      </c>
      <c r="H13" s="92" t="s">
        <v>17</v>
      </c>
      <c r="I13" s="92" t="s">
        <v>17</v>
      </c>
      <c r="J13" s="92">
        <v>12</v>
      </c>
      <c r="K13" s="92">
        <v>3</v>
      </c>
      <c r="L13" s="96">
        <v>43042</v>
      </c>
      <c r="M13" s="93">
        <v>9237</v>
      </c>
      <c r="N13" s="37">
        <v>45128</v>
      </c>
      <c r="O13" s="59" t="s">
        <v>28</v>
      </c>
      <c r="P13" s="87"/>
    </row>
    <row r="14" spans="1:18" s="43" customFormat="1" ht="24.6" customHeight="1" x14ac:dyDescent="0.2">
      <c r="A14" s="31">
        <v>12</v>
      </c>
      <c r="B14" s="35">
        <v>10</v>
      </c>
      <c r="C14" s="32" t="s">
        <v>175</v>
      </c>
      <c r="D14" s="97">
        <v>1096.25</v>
      </c>
      <c r="E14" s="97">
        <v>2870.52</v>
      </c>
      <c r="F14" s="34">
        <f t="shared" si="0"/>
        <v>-0.61810055320987134</v>
      </c>
      <c r="G14" s="94">
        <v>229</v>
      </c>
      <c r="H14" s="92">
        <v>9</v>
      </c>
      <c r="I14" s="92">
        <f t="shared" ref="I14:I27" si="2">G14/H14</f>
        <v>25.444444444444443</v>
      </c>
      <c r="J14" s="92">
        <v>4</v>
      </c>
      <c r="K14" s="92">
        <v>6</v>
      </c>
      <c r="L14" s="97">
        <v>91366</v>
      </c>
      <c r="M14" s="94">
        <v>19532</v>
      </c>
      <c r="N14" s="37">
        <v>45107</v>
      </c>
      <c r="O14" s="59" t="s">
        <v>160</v>
      </c>
      <c r="P14" s="87"/>
    </row>
    <row r="15" spans="1:18" ht="24.6" customHeight="1" x14ac:dyDescent="0.2">
      <c r="A15" s="31">
        <v>14</v>
      </c>
      <c r="B15" s="35">
        <v>19</v>
      </c>
      <c r="C15" s="32" t="s">
        <v>42</v>
      </c>
      <c r="D15" s="96">
        <v>583.9</v>
      </c>
      <c r="E15" s="96">
        <v>173.6</v>
      </c>
      <c r="F15" s="34">
        <f t="shared" si="0"/>
        <v>2.3634792626728109</v>
      </c>
      <c r="G15" s="93">
        <v>85</v>
      </c>
      <c r="H15" s="92">
        <v>4</v>
      </c>
      <c r="I15" s="92">
        <f t="shared" si="2"/>
        <v>21.25</v>
      </c>
      <c r="J15" s="92">
        <v>1</v>
      </c>
      <c r="K15" s="92">
        <v>22</v>
      </c>
      <c r="L15" s="96">
        <v>241034.13</v>
      </c>
      <c r="M15" s="93">
        <v>37765</v>
      </c>
      <c r="N15" s="37">
        <v>44988</v>
      </c>
      <c r="O15" s="59" t="s">
        <v>43</v>
      </c>
      <c r="P15" s="87"/>
    </row>
    <row r="16" spans="1:18" s="43" customFormat="1" ht="24" customHeight="1" x14ac:dyDescent="0.15">
      <c r="A16" s="31">
        <v>16</v>
      </c>
      <c r="B16" s="35">
        <v>21</v>
      </c>
      <c r="C16" s="32" t="s">
        <v>133</v>
      </c>
      <c r="D16" s="96">
        <v>441.06</v>
      </c>
      <c r="E16" s="96">
        <v>38</v>
      </c>
      <c r="F16" s="34">
        <f t="shared" si="0"/>
        <v>10.606842105263159</v>
      </c>
      <c r="G16" s="93">
        <v>73</v>
      </c>
      <c r="H16" s="92">
        <v>4</v>
      </c>
      <c r="I16" s="92">
        <f t="shared" si="2"/>
        <v>18.25</v>
      </c>
      <c r="J16" s="92">
        <v>2</v>
      </c>
      <c r="K16" s="92">
        <v>10</v>
      </c>
      <c r="L16" s="96">
        <v>324927.78000000003</v>
      </c>
      <c r="M16" s="93">
        <v>54846</v>
      </c>
      <c r="N16" s="37">
        <v>45079</v>
      </c>
      <c r="O16" s="59" t="s">
        <v>23</v>
      </c>
      <c r="P16" s="86"/>
    </row>
    <row r="17" spans="1:16" s="43" customFormat="1" ht="24.6" customHeight="1" x14ac:dyDescent="0.15">
      <c r="A17" s="31">
        <v>13</v>
      </c>
      <c r="B17" s="35" t="s">
        <v>17</v>
      </c>
      <c r="C17" s="32" t="s">
        <v>138</v>
      </c>
      <c r="D17" s="96">
        <v>422.5</v>
      </c>
      <c r="E17" s="96" t="s">
        <v>17</v>
      </c>
      <c r="F17" s="34" t="s">
        <v>17</v>
      </c>
      <c r="G17" s="93">
        <v>169</v>
      </c>
      <c r="H17" s="92">
        <v>6</v>
      </c>
      <c r="I17" s="92">
        <f t="shared" si="2"/>
        <v>28.166666666666668</v>
      </c>
      <c r="J17" s="92">
        <v>2</v>
      </c>
      <c r="K17" s="92" t="s">
        <v>17</v>
      </c>
      <c r="L17" s="96">
        <v>1342504</v>
      </c>
      <c r="M17" s="93">
        <v>249421</v>
      </c>
      <c r="N17" s="37">
        <v>44743</v>
      </c>
      <c r="O17" s="59" t="s">
        <v>160</v>
      </c>
      <c r="P17" s="86"/>
    </row>
    <row r="18" spans="1:16" s="43" customFormat="1" ht="24.6" customHeight="1" x14ac:dyDescent="0.15">
      <c r="A18" s="31">
        <v>18</v>
      </c>
      <c r="B18" s="35">
        <v>14</v>
      </c>
      <c r="C18" s="32" t="s">
        <v>136</v>
      </c>
      <c r="D18" s="96">
        <v>413.37</v>
      </c>
      <c r="E18" s="96">
        <v>381.68</v>
      </c>
      <c r="F18" s="34">
        <f>(D18-E18)/E18</f>
        <v>8.3027667155732537E-2</v>
      </c>
      <c r="G18" s="93">
        <v>58</v>
      </c>
      <c r="H18" s="92">
        <v>3</v>
      </c>
      <c r="I18" s="92">
        <f t="shared" si="2"/>
        <v>19.333333333333332</v>
      </c>
      <c r="J18" s="92">
        <v>1</v>
      </c>
      <c r="K18" s="92">
        <v>10</v>
      </c>
      <c r="L18" s="96">
        <v>78299</v>
      </c>
      <c r="M18" s="93">
        <v>12590</v>
      </c>
      <c r="N18" s="37">
        <v>45079</v>
      </c>
      <c r="O18" s="59" t="s">
        <v>49</v>
      </c>
      <c r="P18" s="86"/>
    </row>
    <row r="19" spans="1:16" s="43" customFormat="1" ht="24.6" customHeight="1" x14ac:dyDescent="0.15">
      <c r="A19" s="31">
        <v>17</v>
      </c>
      <c r="B19" s="35" t="s">
        <v>17</v>
      </c>
      <c r="C19" s="41" t="s">
        <v>145</v>
      </c>
      <c r="D19" s="33">
        <v>295</v>
      </c>
      <c r="E19" s="33" t="s">
        <v>17</v>
      </c>
      <c r="F19" s="34" t="s">
        <v>17</v>
      </c>
      <c r="G19" s="35">
        <v>60</v>
      </c>
      <c r="H19" s="36">
        <v>2</v>
      </c>
      <c r="I19" s="36">
        <f t="shared" si="2"/>
        <v>30</v>
      </c>
      <c r="J19" s="35">
        <v>1</v>
      </c>
      <c r="K19" s="36">
        <v>9</v>
      </c>
      <c r="L19" s="33">
        <v>56269</v>
      </c>
      <c r="M19" s="35">
        <v>9054</v>
      </c>
      <c r="N19" s="37">
        <v>45086</v>
      </c>
      <c r="O19" s="59" t="s">
        <v>160</v>
      </c>
      <c r="P19" s="86"/>
    </row>
    <row r="20" spans="1:16" s="43" customFormat="1" ht="24.6" customHeight="1" x14ac:dyDescent="0.2">
      <c r="A20" s="31">
        <v>19</v>
      </c>
      <c r="B20" s="35">
        <v>11</v>
      </c>
      <c r="C20" s="32" t="s">
        <v>204</v>
      </c>
      <c r="D20" s="96">
        <v>234.5</v>
      </c>
      <c r="E20" s="96">
        <v>1810.56</v>
      </c>
      <c r="F20" s="34">
        <f>(D20-E20)/E20</f>
        <v>-0.87048206079886881</v>
      </c>
      <c r="G20" s="93">
        <v>45</v>
      </c>
      <c r="H20" s="92">
        <v>8</v>
      </c>
      <c r="I20" s="92">
        <f t="shared" si="2"/>
        <v>5.625</v>
      </c>
      <c r="J20" s="92">
        <v>3</v>
      </c>
      <c r="K20" s="92">
        <v>2</v>
      </c>
      <c r="L20" s="96">
        <v>3356.16</v>
      </c>
      <c r="M20" s="93">
        <v>718</v>
      </c>
      <c r="N20" s="37">
        <v>45135</v>
      </c>
      <c r="O20" s="31" t="s">
        <v>53</v>
      </c>
      <c r="P20" s="87"/>
    </row>
    <row r="21" spans="1:16" s="43" customFormat="1" ht="24.6" customHeight="1" x14ac:dyDescent="0.15">
      <c r="A21" s="31">
        <v>15</v>
      </c>
      <c r="B21" s="35" t="s">
        <v>17</v>
      </c>
      <c r="C21" s="32" t="s">
        <v>211</v>
      </c>
      <c r="D21" s="96">
        <v>191.9</v>
      </c>
      <c r="E21" s="96" t="s">
        <v>17</v>
      </c>
      <c r="F21" s="34" t="s">
        <v>17</v>
      </c>
      <c r="G21" s="93">
        <v>79</v>
      </c>
      <c r="H21" s="92">
        <v>6</v>
      </c>
      <c r="I21" s="92">
        <f t="shared" si="2"/>
        <v>13.166666666666666</v>
      </c>
      <c r="J21" s="92">
        <v>2</v>
      </c>
      <c r="K21" s="92" t="s">
        <v>17</v>
      </c>
      <c r="L21" s="96">
        <v>423353</v>
      </c>
      <c r="M21" s="93">
        <v>83265</v>
      </c>
      <c r="N21" s="37">
        <v>44652</v>
      </c>
      <c r="O21" s="59" t="s">
        <v>159</v>
      </c>
      <c r="P21" s="86"/>
    </row>
    <row r="22" spans="1:16" s="43" customFormat="1" ht="24.6" customHeight="1" x14ac:dyDescent="0.2">
      <c r="A22" s="31">
        <v>20</v>
      </c>
      <c r="B22" s="35" t="s">
        <v>17</v>
      </c>
      <c r="C22" s="32" t="s">
        <v>115</v>
      </c>
      <c r="D22" s="33">
        <v>167</v>
      </c>
      <c r="E22" s="33" t="s">
        <v>17</v>
      </c>
      <c r="F22" s="34" t="s">
        <v>17</v>
      </c>
      <c r="G22" s="35">
        <v>31</v>
      </c>
      <c r="H22" s="92">
        <v>1</v>
      </c>
      <c r="I22" s="92">
        <f t="shared" si="2"/>
        <v>31</v>
      </c>
      <c r="J22" s="92">
        <v>1</v>
      </c>
      <c r="K22" s="92">
        <v>12</v>
      </c>
      <c r="L22" s="33">
        <v>8889</v>
      </c>
      <c r="M22" s="93">
        <v>1558</v>
      </c>
      <c r="N22" s="37">
        <v>45065</v>
      </c>
      <c r="O22" s="59" t="s">
        <v>49</v>
      </c>
      <c r="P22" s="87"/>
    </row>
    <row r="23" spans="1:16" s="43" customFormat="1" ht="24.6" customHeight="1" x14ac:dyDescent="0.2">
      <c r="A23" s="31">
        <v>23</v>
      </c>
      <c r="B23" s="35" t="s">
        <v>17</v>
      </c>
      <c r="C23" s="32" t="s">
        <v>90</v>
      </c>
      <c r="D23" s="33">
        <v>72.099999999999994</v>
      </c>
      <c r="E23" s="33" t="s">
        <v>17</v>
      </c>
      <c r="F23" s="34" t="s">
        <v>17</v>
      </c>
      <c r="G23" s="35">
        <v>10</v>
      </c>
      <c r="H23" s="92">
        <v>1</v>
      </c>
      <c r="I23" s="92">
        <f t="shared" si="2"/>
        <v>10</v>
      </c>
      <c r="J23" s="92">
        <v>1</v>
      </c>
      <c r="K23" s="92" t="s">
        <v>17</v>
      </c>
      <c r="L23" s="33">
        <v>41350.18</v>
      </c>
      <c r="M23" s="93">
        <v>6998</v>
      </c>
      <c r="N23" s="37">
        <v>44678</v>
      </c>
      <c r="O23" s="59" t="s">
        <v>33</v>
      </c>
      <c r="P23" s="87"/>
    </row>
    <row r="24" spans="1:16" s="43" customFormat="1" ht="24" customHeight="1" x14ac:dyDescent="0.2">
      <c r="A24" s="31">
        <v>21</v>
      </c>
      <c r="B24" s="35" t="s">
        <v>17</v>
      </c>
      <c r="C24" s="32" t="s">
        <v>62</v>
      </c>
      <c r="D24" s="45">
        <v>65.2</v>
      </c>
      <c r="E24" s="45" t="s">
        <v>17</v>
      </c>
      <c r="F24" s="34" t="s">
        <v>17</v>
      </c>
      <c r="G24" s="46">
        <v>15</v>
      </c>
      <c r="H24" s="92">
        <v>2</v>
      </c>
      <c r="I24" s="92">
        <f t="shared" si="2"/>
        <v>7.5</v>
      </c>
      <c r="J24" s="92">
        <v>1</v>
      </c>
      <c r="K24" s="92">
        <v>14</v>
      </c>
      <c r="L24" s="45">
        <v>45628.04</v>
      </c>
      <c r="M24" s="94">
        <v>9486</v>
      </c>
      <c r="N24" s="37">
        <v>45044</v>
      </c>
      <c r="O24" s="59" t="s">
        <v>33</v>
      </c>
      <c r="P24" s="90"/>
    </row>
    <row r="25" spans="1:16" s="43" customFormat="1" ht="24.6" customHeight="1" x14ac:dyDescent="0.15">
      <c r="A25" s="31">
        <v>22</v>
      </c>
      <c r="B25" s="35">
        <v>13</v>
      </c>
      <c r="C25" s="32" t="s">
        <v>174</v>
      </c>
      <c r="D25" s="96">
        <v>48</v>
      </c>
      <c r="E25" s="96">
        <v>623.32000000000005</v>
      </c>
      <c r="F25" s="34">
        <f>(D25-E25)/E25</f>
        <v>-0.92299300519797212</v>
      </c>
      <c r="G25" s="93">
        <v>12</v>
      </c>
      <c r="H25" s="92">
        <v>2</v>
      </c>
      <c r="I25" s="92">
        <f t="shared" si="2"/>
        <v>6</v>
      </c>
      <c r="J25" s="92">
        <v>1</v>
      </c>
      <c r="K25" s="92">
        <v>6</v>
      </c>
      <c r="L25" s="96">
        <v>114155</v>
      </c>
      <c r="M25" s="93">
        <v>16876</v>
      </c>
      <c r="N25" s="37">
        <v>45107</v>
      </c>
      <c r="O25" s="59" t="s">
        <v>49</v>
      </c>
      <c r="P25" s="86"/>
    </row>
    <row r="26" spans="1:16" s="43" customFormat="1" ht="24.6" customHeight="1" x14ac:dyDescent="0.15">
      <c r="A26" s="31">
        <v>24</v>
      </c>
      <c r="B26" s="35" t="s">
        <v>17</v>
      </c>
      <c r="C26" s="32" t="s">
        <v>212</v>
      </c>
      <c r="D26" s="96">
        <v>9</v>
      </c>
      <c r="E26" s="96" t="s">
        <v>17</v>
      </c>
      <c r="F26" s="34" t="s">
        <v>17</v>
      </c>
      <c r="G26" s="93">
        <v>3</v>
      </c>
      <c r="H26" s="92">
        <v>1</v>
      </c>
      <c r="I26" s="92">
        <f t="shared" si="2"/>
        <v>3</v>
      </c>
      <c r="J26" s="92">
        <v>1</v>
      </c>
      <c r="K26" s="92" t="s">
        <v>17</v>
      </c>
      <c r="L26" s="96">
        <v>189</v>
      </c>
      <c r="M26" s="93">
        <v>41</v>
      </c>
      <c r="N26" s="37">
        <v>45001</v>
      </c>
      <c r="O26" s="59" t="s">
        <v>73</v>
      </c>
      <c r="P26" s="86"/>
    </row>
    <row r="27" spans="1:16" s="43" customFormat="1" ht="24.6" customHeight="1" x14ac:dyDescent="0.2">
      <c r="A27" s="31">
        <v>25</v>
      </c>
      <c r="B27" s="35">
        <v>22</v>
      </c>
      <c r="C27" s="32" t="s">
        <v>173</v>
      </c>
      <c r="D27" s="96">
        <v>8</v>
      </c>
      <c r="E27" s="96">
        <v>6</v>
      </c>
      <c r="F27" s="34">
        <f>(D27-E27)/E27</f>
        <v>0.33333333333333331</v>
      </c>
      <c r="G27" s="93">
        <v>2</v>
      </c>
      <c r="H27" s="92">
        <v>1</v>
      </c>
      <c r="I27" s="92">
        <f t="shared" si="2"/>
        <v>2</v>
      </c>
      <c r="J27" s="92">
        <v>1</v>
      </c>
      <c r="K27" s="92">
        <v>7</v>
      </c>
      <c r="L27" s="96">
        <v>1448.4</v>
      </c>
      <c r="M27" s="93">
        <v>248</v>
      </c>
      <c r="N27" s="37">
        <v>45106</v>
      </c>
      <c r="O27" s="59" t="s">
        <v>30</v>
      </c>
      <c r="P27" s="87"/>
    </row>
    <row r="28" spans="1:16" s="51" customFormat="1" ht="24" customHeight="1" x14ac:dyDescent="0.2">
      <c r="B28" s="78"/>
      <c r="C28" s="77" t="s">
        <v>213</v>
      </c>
      <c r="D28" s="52">
        <f>SUBTOTAL(109,Table1324567891011121314151716[Pajamos 
(GBO)])</f>
        <v>273715.44</v>
      </c>
      <c r="E28" s="52" t="s">
        <v>208</v>
      </c>
      <c r="F28" s="81">
        <f t="shared" ref="F28" si="3">(D28-E28)/E28</f>
        <v>-0.2635326911693483</v>
      </c>
      <c r="G28" s="78">
        <f>SUBTOTAL(109,Table1324567891011121314151716[Žiūrovų sk. 
(ADM)])</f>
        <v>39946</v>
      </c>
      <c r="H28" s="70"/>
      <c r="I28" s="70"/>
      <c r="J28" s="70"/>
      <c r="K28" s="70"/>
      <c r="L28" s="52"/>
      <c r="M28" s="78"/>
      <c r="N28" s="53"/>
      <c r="O28" s="79" t="s">
        <v>56</v>
      </c>
      <c r="P28" s="85"/>
    </row>
    <row r="29" spans="1:16" hidden="1" x14ac:dyDescent="0.15">
      <c r="F29" s="4"/>
      <c r="L29" s="3"/>
    </row>
    <row r="30" spans="1:16" hidden="1" x14ac:dyDescent="0.15">
      <c r="F30" s="4"/>
      <c r="L30" s="3"/>
    </row>
    <row r="31" spans="1:16" hidden="1" x14ac:dyDescent="0.15">
      <c r="F31" s="4"/>
      <c r="L31" s="3"/>
    </row>
    <row r="32" spans="1:16" hidden="1" x14ac:dyDescent="0.15">
      <c r="F32" s="4"/>
      <c r="L32" s="3"/>
    </row>
    <row r="33" spans="1:16383" hidden="1" x14ac:dyDescent="0.15">
      <c r="F33" s="4"/>
      <c r="L33" s="3"/>
    </row>
    <row r="34" spans="1:16383" hidden="1" x14ac:dyDescent="0.15">
      <c r="F34" s="4"/>
      <c r="L34" s="3"/>
    </row>
    <row r="35" spans="1:16383" hidden="1" x14ac:dyDescent="0.15">
      <c r="F35" s="4"/>
      <c r="L35" s="3"/>
    </row>
    <row r="36" spans="1:16383" hidden="1" x14ac:dyDescent="0.15">
      <c r="F36" s="4"/>
      <c r="L36" s="3"/>
    </row>
    <row r="37" spans="1:16383" hidden="1" x14ac:dyDescent="0.15">
      <c r="F37" s="4"/>
      <c r="L37" s="3"/>
    </row>
    <row r="38" spans="1:16383" hidden="1" x14ac:dyDescent="0.15">
      <c r="F38" s="4"/>
      <c r="L38" s="3"/>
    </row>
    <row r="39" spans="1:16383" hidden="1" x14ac:dyDescent="0.15">
      <c r="F39" s="4"/>
      <c r="L39" s="3"/>
    </row>
    <row r="40" spans="1:16383" hidden="1" x14ac:dyDescent="0.15">
      <c r="F40" s="4"/>
      <c r="L40" s="3"/>
    </row>
    <row r="41" spans="1:16383" hidden="1" x14ac:dyDescent="0.15">
      <c r="F41" s="4"/>
    </row>
    <row r="42" spans="1:16383" s="44" customFormat="1" hidden="1" x14ac:dyDescent="0.15">
      <c r="A42" s="1"/>
      <c r="C42" s="1"/>
      <c r="D42" s="5"/>
      <c r="E42" s="5"/>
      <c r="F42" s="4"/>
      <c r="K42" s="66"/>
      <c r="L42" s="5"/>
      <c r="N42" s="12"/>
      <c r="O42" s="6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</row>
    <row r="43" spans="1:16383" s="44" customFormat="1" hidden="1" x14ac:dyDescent="0.15">
      <c r="A43" s="1"/>
      <c r="C43" s="1"/>
      <c r="D43" s="5"/>
      <c r="E43" s="5"/>
      <c r="F43" s="4"/>
      <c r="K43" s="66"/>
      <c r="L43" s="5"/>
      <c r="N43" s="12"/>
      <c r="O43" s="6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  <c r="XFC43" s="1"/>
    </row>
    <row r="44" spans="1:16383" s="44" customFormat="1" hidden="1" x14ac:dyDescent="0.15">
      <c r="A44" s="1"/>
      <c r="C44" s="1"/>
      <c r="D44" s="5"/>
      <c r="E44" s="5"/>
      <c r="F44" s="4"/>
      <c r="K44" s="66"/>
      <c r="L44" s="5"/>
      <c r="N44" s="12"/>
      <c r="O44" s="6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</row>
    <row r="45" spans="1:16383" hidden="1" x14ac:dyDescent="0.15">
      <c r="B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6383" hidden="1" x14ac:dyDescent="0.15">
      <c r="B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6383" hidden="1" x14ac:dyDescent="0.15">
      <c r="B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6383" hidden="1" x14ac:dyDescent="0.15">
      <c r="B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="1" customFormat="1" hidden="1" x14ac:dyDescent="0.15"/>
    <row r="50" s="1" customFormat="1" hidden="1" x14ac:dyDescent="0.15"/>
    <row r="51" s="1" customFormat="1" hidden="1" x14ac:dyDescent="0.15"/>
    <row r="52" s="1" customFormat="1" hidden="1" x14ac:dyDescent="0.15"/>
    <row r="53" s="1" customFormat="1" hidden="1" x14ac:dyDescent="0.15"/>
    <row r="54" s="1" customFormat="1" hidden="1" x14ac:dyDescent="0.15"/>
    <row r="55" s="1" customFormat="1" hidden="1" x14ac:dyDescent="0.15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1" ma:contentTypeDescription="Kurkite naują dokumentą." ma:contentTypeScope="" ma:versionID="23620de79f9f8a90b79a8e79e72deae7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bf50f9ed8e56cd0d5d39bf86259c8073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1621be2-09a8-4ecf-a4f6-2b817f971f19" xsi:nil="true"/>
    <lcf76f155ced4ddcb4097134ff3c332f xmlns="22dbaa52-5d5a-4806-ae0d-f920dab8f355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07C1D7-49AB-43C0-8447-663BD2900D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6459EE7-36DB-4BE6-AC4F-4A8FD7339132}">
  <ds:schemaRefs>
    <ds:schemaRef ds:uri="http://schemas.microsoft.com/office/2006/metadata/properties"/>
    <ds:schemaRef ds:uri="http://schemas.microsoft.com/office/infopath/2007/PartnerControls"/>
    <ds:schemaRef ds:uri="f1621be2-09a8-4ecf-a4f6-2b817f971f19"/>
    <ds:schemaRef ds:uri="22dbaa52-5d5a-4806-ae0d-f920dab8f355"/>
  </ds:schemaRefs>
</ds:datastoreItem>
</file>

<file path=customXml/itemProps3.xml><?xml version="1.0" encoding="utf-8"?>
<ds:datastoreItem xmlns:ds="http://schemas.openxmlformats.org/officeDocument/2006/customXml" ds:itemID="{00AAF962-7BBC-4B44-882A-5CCFE0A6847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09.29-10.01</vt:lpstr>
      <vt:lpstr>09.22-09.24</vt:lpstr>
      <vt:lpstr>09.15-09.17</vt:lpstr>
      <vt:lpstr>09.08-09.10</vt:lpstr>
      <vt:lpstr>09.01-09.03</vt:lpstr>
      <vt:lpstr>08.25-08.27</vt:lpstr>
      <vt:lpstr>08.18-08.20</vt:lpstr>
      <vt:lpstr>08.11-08.13</vt:lpstr>
      <vt:lpstr>08.04-08.06</vt:lpstr>
      <vt:lpstr>07.28-07.30</vt:lpstr>
      <vt:lpstr>07.21-07.23</vt:lpstr>
      <vt:lpstr>07.14-07.16</vt:lpstr>
      <vt:lpstr>07.07-07.09</vt:lpstr>
      <vt:lpstr>06.30-07.02</vt:lpstr>
      <vt:lpstr>06.23-06.25</vt:lpstr>
      <vt:lpstr>06.16-06.18</vt:lpstr>
      <vt:lpstr>06.09-06.11</vt:lpstr>
      <vt:lpstr>06.02-06.04</vt:lpstr>
      <vt:lpstr>05.26-05.28</vt:lpstr>
      <vt:lpstr>05.19-05.21</vt:lpstr>
      <vt:lpstr>05.12-05.14</vt:lpstr>
      <vt:lpstr>05.05-05.07</vt:lpstr>
      <vt:lpstr>04.28-04.30</vt:lpstr>
      <vt:lpstr>04.21-04.23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Austė</dc:creator>
  <cp:keywords/>
  <dc:description/>
  <cp:lastModifiedBy>Austė Jucytė</cp:lastModifiedBy>
  <cp:revision/>
  <cp:lastPrinted>2023-05-02T11:29:51Z</cp:lastPrinted>
  <dcterms:created xsi:type="dcterms:W3CDTF">2023-04-24T05:36:19Z</dcterms:created>
  <dcterms:modified xsi:type="dcterms:W3CDTF">2023-10-02T13:09:12Z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0x010100691E9D35A53E9A4EBD386BD6CA5FE45A</vt:lpwstr>
  </property>
  <property fmtid="{D5CDD505-2E9C-101B-9397-08002B2CF9AE}" pid="3" name="MediaServiceImageTags">
    <vt:lpwstr/>
  </property>
</Properties>
</file>